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765" tabRatio="604" activeTab="1"/>
  </bookViews>
  <sheets>
    <sheet name="Prihodi i rashodi po EK.K" sheetId="1" r:id="rId1"/>
    <sheet name="Prihodi i rashodi PR,EK i IZ" sheetId="2" r:id="rId2"/>
  </sheets>
  <definedNames>
    <definedName name="_xlnm._FilterDatabase" localSheetId="1" hidden="1">'Prihodi i rashodi PR,EK i IZ'!$A$6:$H$485</definedName>
    <definedName name="_xlnm.Print_Area" localSheetId="0">'Prihodi i rashodi po EK.K'!$A$1:$H$98</definedName>
    <definedName name="_xlnm.Print_Area" localSheetId="1">'Prihodi i rashodi PR,EK i IZ'!$A$1:$H$556</definedName>
  </definedNames>
  <calcPr fullCalcOnLoad="1"/>
</workbook>
</file>

<file path=xl/sharedStrings.xml><?xml version="1.0" encoding="utf-8"?>
<sst xmlns="http://schemas.openxmlformats.org/spreadsheetml/2006/main" count="883" uniqueCount="230">
  <si>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</si>
  <si>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</si>
  <si>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</si>
  <si>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</si>
  <si>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</si>
  <si>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</si>
  <si>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</si>
  <si>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</si>
  <si>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</si>
  <si>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</si>
  <si>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</si>
  <si>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</si>
  <si>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</si>
  <si>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</si>
  <si>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</si>
  <si>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</si>
  <si>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</si>
  <si>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</si>
  <si>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</si>
  <si>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</si>
  <si>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</si>
  <si>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</si>
  <si>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</si>
  <si>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</si>
  <si>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</si>
  <si>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</si>
  <si>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</si>
  <si>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</si>
  <si>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</si>
  <si>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</si>
  <si>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</si>
  <si>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</si>
  <si>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</si>
  <si>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</si>
  <si>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</si>
  <si>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</si>
  <si>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</si>
  <si>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</si>
  <si>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</si>
  <si>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</si>
  <si>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</si>
  <si>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</si>
  <si>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</si>
  <si>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</si>
  <si>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</si>
  <si>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</si>
  <si>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</si>
  <si>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</si>
  <si>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</si>
  <si>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</si>
  <si>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</si>
  <si>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</si>
  <si>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</si>
  <si>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</si>
  <si>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</si>
  <si>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</si>
  <si>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</si>
  <si>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</si>
  <si>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</si>
  <si>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</si>
  <si>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</si>
  <si>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</si>
  <si>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</si>
  <si>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</si>
  <si>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</si>
  <si>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</si>
  <si>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</si>
  <si>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</si>
  <si>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</si>
  <si>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</si>
  <si>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</si>
  <si>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</si>
  <si>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PREGLED UKUPNIH PRIHODA I RASHODA PO IZVORIMA FINANCIRANJA </t>
  </si>
  <si>
    <t>UKUPNO Izvor financiranja Prihodi za posebne namjene</t>
  </si>
  <si>
    <t xml:space="preserve">Ostvarenje/
izvršenje 2019. 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</si>
  <si>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</si>
  <si>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</si>
  <si>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</si>
  <si>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</si>
  <si>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</si>
  <si>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</si>
  <si>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>Izvor financiranja 94 Prihodi za posebne namjene - višak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</si>
  <si>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</si>
  <si>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</si>
  <si>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</si>
  <si>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</si>
  <si>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</si>
  <si>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</si>
  <si>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</si>
  <si>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</si>
  <si>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</si>
  <si>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</si>
  <si>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</si>
  <si>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</si>
  <si>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</si>
  <si>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</si>
  <si>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</si>
  <si>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</si>
  <si>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</si>
  <si>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</si>
  <si>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</si>
  <si>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</si>
  <si>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</si>
  <si>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</si>
  <si>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</si>
  <si>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</si>
  <si>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</si>
  <si>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</si>
  <si>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</si>
  <si>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</si>
  <si>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</si>
  <si>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</si>
  <si>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Izvor financiranja 95 Pomoći - višak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</si>
  <si>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</si>
  <si>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</si>
  <si>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</si>
  <si>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</si>
  <si>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</si>
  <si>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</si>
  <si>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</si>
  <si>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 xml:space="preserve">POKRIĆE MANJKA </t>
  </si>
  <si>
    <t>Izvor financiranja 91 Opći prihodi i primici - manjak</t>
  </si>
  <si>
    <t xml:space="preserve">Rezultat poslovanja </t>
  </si>
  <si>
    <t xml:space="preserve">Manjak prihoda od nefinacijske imovine </t>
  </si>
  <si>
    <t xml:space="preserve">Sveukupno rashodi + pokriće manjka </t>
  </si>
  <si>
    <t>Ostali nespomenuti prihodi po posebnim propisima</t>
  </si>
  <si>
    <t xml:space="preserve">Donacije od pravnih i fizičkih osoba </t>
  </si>
  <si>
    <t>Pomoći iz drž.pror.temeljem prijenosa EU sredstava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</si>
  <si>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</si>
  <si>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</si>
  <si>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</si>
  <si>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</si>
  <si>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</si>
  <si>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</si>
  <si>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</si>
  <si>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</si>
  <si>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</si>
  <si>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</si>
  <si>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</si>
  <si>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</si>
  <si>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</si>
  <si>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</si>
  <si>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</si>
  <si>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</si>
  <si>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</si>
  <si>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</si>
  <si>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</si>
  <si>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</si>
  <si>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 Tkuće pomoći prorač.korisnicima iz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</si>
  <si>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</si>
  <si>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</si>
  <si>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</si>
  <si>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</si>
  <si>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</si>
  <si>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Ostali nespomenuti prihodi po mposebnim propisima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</si>
  <si>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</si>
  <si>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</si>
  <si>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</si>
  <si>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</si>
  <si>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</si>
  <si>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</si>
  <si>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</si>
  <si>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Naknade građanima i kućanstvima na temelju osiguranja i druge naknade</t>
  </si>
  <si>
    <t>Ostale naknade građanima i kućanstvima iz proračuna</t>
  </si>
  <si>
    <t>Rashodi za nabavu nefinancijske imovine</t>
  </si>
  <si>
    <t>Plaće (bruto)</t>
  </si>
  <si>
    <t>Ostali rashodi za zaposlene</t>
  </si>
  <si>
    <t>Naknade građanima i kućanstvima iz proračuna</t>
  </si>
  <si>
    <t>Ostale naknade građanima i kućanstvima iz prorač.</t>
  </si>
  <si>
    <t>Izvorni plan 2020</t>
  </si>
  <si>
    <t>Tekući plan 2020</t>
  </si>
  <si>
    <t xml:space="preserve">Ostvarenje/
izvršenje 2020. </t>
  </si>
  <si>
    <t>Naknade građanima i kućastvima u novcu</t>
  </si>
  <si>
    <t>Naknade građaima i i kućanstvima iz EU sredstava</t>
  </si>
  <si>
    <t xml:space="preserve">Opremanje </t>
  </si>
  <si>
    <t>Prihodi od imovine</t>
  </si>
  <si>
    <t>Kamate na depozite po viđenju</t>
  </si>
  <si>
    <t>Prihodi od prodaje proizvedene dugotrajne imovine</t>
  </si>
  <si>
    <t>Ostali stambeni objekti</t>
  </si>
  <si>
    <t>Izvor financiranja 96 Donacije - preneseni višak</t>
  </si>
  <si>
    <t>Izvor financiranja 97 Prihodi od prodaje ili zamjene nefinancijske imovine - preneseni višak</t>
  </si>
  <si>
    <t>Višak prihoda od nefinancijske imovine</t>
  </si>
  <si>
    <t>Plaće za prekovremeni rad</t>
  </si>
  <si>
    <t>Intelektualne i osbne usluge</t>
  </si>
  <si>
    <t>Naknade troškova osobama izvan radnog odnosa</t>
  </si>
  <si>
    <t>Premije osiguranja</t>
  </si>
  <si>
    <t>Usluge promidžbe i informiranja</t>
  </si>
  <si>
    <t>Sitni inventar i autogume</t>
  </si>
  <si>
    <t>PROGRAM 5306 Obilježavanje postignuća učenika i nastavnika</t>
  </si>
  <si>
    <t>Aktivnost 530603 Natjecanja i smotre</t>
  </si>
  <si>
    <t>PROGRAM 5501 Zakonski standard ustanova srednjeg školstva</t>
  </si>
  <si>
    <t>Aktivnost 550101 Osiguravanje uvjeta rada</t>
  </si>
  <si>
    <t>Materijali dijelovi za tekuće i investicijsko održavanje</t>
  </si>
  <si>
    <t>Ulaganja u računalne programe</t>
  </si>
  <si>
    <t>Nematerijalna proizvedena imovina</t>
  </si>
  <si>
    <t>Izvor financiranja 6 Donacije</t>
  </si>
  <si>
    <t>Izvor financiranja 96 Donacije - višak</t>
  </si>
  <si>
    <t>Knjige, umjetnička djela i ostale izložbene vrijednosti</t>
  </si>
  <si>
    <t>Medicinska i laboratorijska oprema</t>
  </si>
  <si>
    <t>Uređaji, strojevi i oprema za ostale namjene</t>
  </si>
  <si>
    <r>
      <t xml:space="preserve">Rashodi za nabavu neproizvedene </t>
    </r>
    <r>
      <rPr>
        <b/>
        <i/>
        <sz val="11"/>
        <rFont val="Times New Roman"/>
        <family val="1"/>
      </rPr>
      <t>dugotrajne</t>
    </r>
    <r>
      <rPr>
        <b/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imovine</t>
    </r>
  </si>
  <si>
    <t>Izvor financiranja 7 Prihodi od prodaje ili zamjene nefinancijske imovine i naknade s naslova osiguranja</t>
  </si>
  <si>
    <t>Izvor financiranja 97 Prihodi od prodaje ili zamjene nefinancijske imovine i naknade s naslova osiguranja-višak</t>
  </si>
  <si>
    <t>PROGRAM 5502 Program iznad zakonsog standarda ustanova srednjeg školstva</t>
  </si>
  <si>
    <t>Aktivnost 550216 Program zaštite i mjera prevencije kod zaraznih bolesti</t>
  </si>
  <si>
    <t>Donacije</t>
  </si>
  <si>
    <t>Donacije - preneseni višak</t>
  </si>
  <si>
    <t>Prihodi od prodaje ili zamjene nefinancijske imovine i naknade s naslova osiguranja</t>
  </si>
  <si>
    <t>Izvor financiranja 97 Prihodi od prodaje ili zamjene nefinancijske imovine i naknade s naslova osiguranja - preneseni višak</t>
  </si>
  <si>
    <t xml:space="preserve">Izvor financiranja 6 Donacije </t>
  </si>
  <si>
    <t>UKUPNO Izvor financiranja Donacije</t>
  </si>
  <si>
    <t>UKUPNO Izvor financiranja Prihodi od prodaje ili zamjene nefinancijske imovine i naknade s naslova osiguranja</t>
  </si>
  <si>
    <t>Prihodi od prodaje građevinskih objekata</t>
  </si>
  <si>
    <t>Donacije od pravnih i fizičkih osoba izvan općeg proračuna i povrat donacija po protestiranim jamstvima</t>
  </si>
  <si>
    <t>Tekuće donacije od neprofitnih organizacija</t>
  </si>
  <si>
    <t>Tekuće donacije od trgovačkih društava</t>
  </si>
  <si>
    <t>Prihodi od financijske imovine</t>
  </si>
  <si>
    <t>SVEUKUPNO</t>
  </si>
  <si>
    <t>Oprema za održavanje i zaštitu</t>
  </si>
  <si>
    <t>Aktivnost 550205 Sufinnaciranje rada pomoćnika u nastavi</t>
  </si>
  <si>
    <t>Izvor financiranja  5 Pomoći - za provođenje EU projekata</t>
  </si>
  <si>
    <t>Izvor financiranja  95 - Pomoći za provođenje EU projekata - višak</t>
  </si>
  <si>
    <t>K 550210 Razvoj regionalnih centara kompetentnosti - EU</t>
  </si>
  <si>
    <t>Izvor financiranja  5 Pomoći</t>
  </si>
  <si>
    <t>Ostala nematerijalna proizvedena imovina</t>
  </si>
  <si>
    <t>6</t>
  </si>
  <si>
    <t>7</t>
  </si>
  <si>
    <t xml:space="preserve"> PO EKONOMSKOJ KLASIFIKACIJI za 2020. godinu</t>
  </si>
  <si>
    <t xml:space="preserve">       MEDICINSKA ŠKOLA U RIJECI -  IZVJEŠTAJ O IZVRŠENJU FINANCIJSKOG PLANA </t>
  </si>
  <si>
    <r>
      <t xml:space="preserve">MEDICINSKA ŠKOLA U RIJECI - 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 za 2020. godinu</t>
    </r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</si>
</sst>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30"/>
      <name val="Times New Roman"/>
      <family val="1"/>
    </font>
    <font>
      <b/>
      <sz val="1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1" applyNumberFormat="0" applyFont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2" applyNumberFormat="0" applyAlignment="0" applyProtection="0"/>
    <xf numFmtId="0" fontId="50" fillId="27" borderId="3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3" fontId="38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9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3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9" fillId="0" borderId="1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2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 quotePrefix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left" vertical="center"/>
    </xf>
    <xf numFmtId="3" fontId="9" fillId="0" borderId="11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3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9" fillId="32" borderId="25" xfId="0" applyNumberFormat="1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0" applyNumberFormat="1" applyFont="1" applyFill="1" applyBorder="1" applyAlignment="1">
      <alignment horizontal="right" vertical="center"/>
    </xf>
    <xf numFmtId="0" fontId="9" fillId="32" borderId="13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22" xfId="0" applyNumberFormat="1" applyFont="1" applyFill="1" applyBorder="1" applyAlignment="1">
      <alignment horizontal="right" vertical="center"/>
    </xf>
    <xf numFmtId="3" fontId="9" fillId="33" borderId="22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5" fillId="32" borderId="12" xfId="0" applyNumberFormat="1" applyFont="1" applyFill="1" applyBorder="1" applyAlignment="1" quotePrefix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49" fontId="64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3" fontId="9" fillId="32" borderId="24" xfId="0" applyNumberFormat="1" applyFont="1" applyFill="1" applyBorder="1" applyAlignment="1">
      <alignment horizontal="right" vertical="center"/>
    </xf>
    <xf numFmtId="3" fontId="9" fillId="32" borderId="33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 wrapText="1"/>
    </xf>
    <xf numFmtId="3" fontId="64" fillId="0" borderId="0" xfId="0" applyNumberFormat="1" applyFont="1" applyAlignment="1">
      <alignment/>
    </xf>
    <xf numFmtId="3" fontId="64" fillId="0" borderId="0" xfId="0" applyNumberFormat="1" applyFont="1" applyBorder="1" applyAlignment="1" quotePrefix="1">
      <alignment horizontal="center" vertical="center"/>
    </xf>
    <xf numFmtId="3" fontId="64" fillId="0" borderId="0" xfId="0" applyNumberFormat="1" applyFont="1" applyAlignment="1">
      <alignment vertical="center"/>
    </xf>
    <xf numFmtId="3" fontId="65" fillId="0" borderId="0" xfId="0" applyNumberFormat="1" applyFont="1" applyAlignment="1">
      <alignment horizontal="left" vertical="center"/>
    </xf>
    <xf numFmtId="0" fontId="64" fillId="0" borderId="0" xfId="0" applyNumberFormat="1" applyFont="1" applyBorder="1" applyAlignment="1" quotePrefix="1">
      <alignment horizontal="center" vertical="center"/>
    </xf>
    <xf numFmtId="0" fontId="9" fillId="32" borderId="10" xfId="0" applyFont="1" applyFill="1" applyBorder="1" applyAlignment="1">
      <alignment horizontal="center"/>
    </xf>
    <xf numFmtId="3" fontId="9" fillId="32" borderId="11" xfId="0" applyNumberFormat="1" applyFont="1" applyFill="1" applyBorder="1" applyAlignment="1">
      <alignment horizontal="right" wrapText="1"/>
    </xf>
    <xf numFmtId="3" fontId="9" fillId="32" borderId="14" xfId="0" applyNumberFormat="1" applyFont="1" applyFill="1" applyBorder="1" applyAlignment="1">
      <alignment horizontal="right" wrapText="1"/>
    </xf>
    <xf numFmtId="0" fontId="9" fillId="33" borderId="13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right" wrapText="1"/>
    </xf>
    <xf numFmtId="3" fontId="9" fillId="32" borderId="17" xfId="0" applyNumberFormat="1" applyFont="1" applyFill="1" applyBorder="1" applyAlignment="1" quotePrefix="1">
      <alignment horizontal="right" vertical="center"/>
    </xf>
    <xf numFmtId="3" fontId="9" fillId="32" borderId="11" xfId="0" applyNumberFormat="1" applyFont="1" applyFill="1" applyBorder="1" applyAlignment="1">
      <alignment horizontal="righ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 quotePrefix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2" borderId="2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2" borderId="19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9" fillId="32" borderId="12" xfId="0" applyNumberFormat="1" applyFont="1" applyFill="1" applyBorder="1" applyAlignment="1" quotePrefix="1">
      <alignment horizontal="right" vertical="center"/>
    </xf>
    <xf numFmtId="3" fontId="9" fillId="32" borderId="11" xfId="0" applyNumberFormat="1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8" fillId="0" borderId="35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6" xfId="0" applyNumberFormat="1" applyFont="1" applyBorder="1" applyAlignment="1" quotePrefix="1">
      <alignment horizontal="center" vertical="center"/>
    </xf>
    <xf numFmtId="0" fontId="9" fillId="32" borderId="13" xfId="0" applyFont="1" applyFill="1" applyBorder="1" applyAlignment="1">
      <alignment horizontal="left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37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Alignment="1">
      <alignment horizontal="left"/>
    </xf>
    <xf numFmtId="3" fontId="9" fillId="32" borderId="18" xfId="0" applyNumberFormat="1" applyFont="1" applyFill="1" applyBorder="1" applyAlignment="1">
      <alignment horizontal="right" vertical="center"/>
    </xf>
    <xf numFmtId="3" fontId="9" fillId="32" borderId="38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33" borderId="0" xfId="53" applyFont="1" applyFill="1" applyBorder="1" applyAlignment="1">
      <alignment horizontal="left" vertical="center" wrapText="1"/>
      <protection/>
    </xf>
    <xf numFmtId="0" fontId="9" fillId="0" borderId="39" xfId="53" applyFont="1" applyFill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3" fontId="9" fillId="33" borderId="14" xfId="0" applyNumberFormat="1" applyFont="1" applyFill="1" applyBorder="1" applyAlignment="1">
      <alignment horizontal="right"/>
    </xf>
    <xf numFmtId="3" fontId="9" fillId="32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1" fontId="9" fillId="33" borderId="1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0" fontId="9" fillId="0" borderId="2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1" fontId="10" fillId="0" borderId="20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 quotePrefix="1">
      <alignment horizontal="right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right" vertical="center" wrapText="1"/>
    </xf>
    <xf numFmtId="0" fontId="9" fillId="32" borderId="28" xfId="53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9" fillId="33" borderId="14" xfId="53" applyFont="1" applyFill="1" applyBorder="1" applyAlignment="1">
      <alignment horizontal="left" vertical="center" wrapText="1"/>
      <protection/>
    </xf>
    <xf numFmtId="3" fontId="9" fillId="33" borderId="41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8" fillId="33" borderId="14" xfId="54" applyFont="1" applyFill="1" applyBorder="1" applyAlignment="1">
      <alignment horizontal="left" wrapText="1"/>
      <protection/>
    </xf>
    <xf numFmtId="3" fontId="9" fillId="0" borderId="20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9" fillId="32" borderId="40" xfId="0" applyFont="1" applyFill="1" applyBorder="1" applyAlignment="1">
      <alignment horizontal="center" vertical="center"/>
    </xf>
    <xf numFmtId="3" fontId="9" fillId="32" borderId="41" xfId="0" applyNumberFormat="1" applyFont="1" applyFill="1" applyBorder="1" applyAlignment="1">
      <alignment horizontal="right" vertical="center" wrapText="1"/>
    </xf>
    <xf numFmtId="0" fontId="18" fillId="32" borderId="14" xfId="54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Alignment="1">
      <alignment/>
    </xf>
    <xf numFmtId="0" fontId="9" fillId="33" borderId="16" xfId="56" applyFont="1" applyFill="1" applyBorder="1" applyAlignment="1">
      <alignment horizontal="left" wrapText="1"/>
      <protection/>
    </xf>
    <xf numFmtId="0" fontId="10" fillId="0" borderId="44" xfId="0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right" vertical="center" wrapText="1"/>
    </xf>
    <xf numFmtId="0" fontId="9" fillId="33" borderId="35" xfId="55" applyFont="1" applyFill="1" applyBorder="1" applyAlignment="1">
      <alignment horizontal="left" vertical="center" wrapText="1"/>
      <protection/>
    </xf>
    <xf numFmtId="0" fontId="10" fillId="0" borderId="14" xfId="55" applyFont="1" applyFill="1" applyBorder="1" applyAlignment="1">
      <alignment horizontal="left" vertical="center" wrapText="1"/>
      <protection/>
    </xf>
    <xf numFmtId="0" fontId="9" fillId="33" borderId="30" xfId="0" applyNumberFormat="1" applyFont="1" applyFill="1" applyBorder="1" applyAlignment="1" quotePrefix="1">
      <alignment horizontal="center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Border="1" applyAlignment="1" quotePrefix="1">
      <alignment horizontal="center" vertical="center"/>
    </xf>
    <xf numFmtId="3" fontId="9" fillId="0" borderId="23" xfId="0" applyNumberFormat="1" applyFont="1" applyBorder="1" applyAlignment="1" quotePrefix="1">
      <alignment horizontal="right" vertical="center"/>
    </xf>
    <xf numFmtId="3" fontId="9" fillId="0" borderId="21" xfId="0" applyNumberFormat="1" applyFont="1" applyBorder="1" applyAlignment="1" quotePrefix="1">
      <alignment horizontal="center" vertical="center"/>
    </xf>
    <xf numFmtId="3" fontId="9" fillId="0" borderId="20" xfId="0" applyNumberFormat="1" applyFont="1" applyBorder="1" applyAlignment="1" quotePrefix="1">
      <alignment horizontal="left" vertical="center"/>
    </xf>
    <xf numFmtId="3" fontId="9" fillId="0" borderId="20" xfId="0" applyNumberFormat="1" applyFont="1" applyBorder="1" applyAlignment="1" quotePrefix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10" fillId="34" borderId="27" xfId="53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20" fillId="0" borderId="0" xfId="54" applyFont="1" applyFill="1" applyBorder="1" applyAlignment="1">
      <alignment horizontal="left" wrapText="1"/>
      <protection/>
    </xf>
    <xf numFmtId="3" fontId="9" fillId="0" borderId="43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quotePrefix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 quotePrefix="1">
      <alignment wrapText="1"/>
    </xf>
    <xf numFmtId="3" fontId="10" fillId="0" borderId="0" xfId="0" applyNumberFormat="1" applyFont="1" applyBorder="1" applyAlignment="1" quotePrefix="1">
      <alignment wrapText="1"/>
    </xf>
    <xf numFmtId="3" fontId="9" fillId="33" borderId="0" xfId="0" applyNumberFormat="1" applyFont="1" applyFill="1" applyBorder="1" applyAlignment="1" quotePrefix="1">
      <alignment wrapText="1"/>
    </xf>
    <xf numFmtId="3" fontId="9" fillId="32" borderId="0" xfId="0" applyNumberFormat="1" applyFont="1" applyFill="1" applyBorder="1" applyAlignment="1" quotePrefix="1">
      <alignment wrapText="1"/>
    </xf>
    <xf numFmtId="3" fontId="10" fillId="0" borderId="46" xfId="0" applyNumberFormat="1" applyFont="1" applyBorder="1" applyAlignment="1" quotePrefix="1">
      <alignment horizontal="right"/>
    </xf>
    <xf numFmtId="3" fontId="9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3" fontId="10" fillId="33" borderId="14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 wrapText="1"/>
    </xf>
    <xf numFmtId="3" fontId="10" fillId="33" borderId="20" xfId="0" applyNumberFormat="1" applyFont="1" applyFill="1" applyBorder="1" applyAlignment="1">
      <alignment horizontal="right" vertical="center" wrapText="1"/>
    </xf>
    <xf numFmtId="0" fontId="9" fillId="33" borderId="11" xfId="55" applyFont="1" applyFill="1" applyBorder="1" applyAlignment="1">
      <alignment horizontal="left" vertical="center" wrapText="1"/>
      <protection/>
    </xf>
    <xf numFmtId="0" fontId="10" fillId="0" borderId="13" xfId="0" applyNumberFormat="1" applyFont="1" applyBorder="1" applyAlignment="1" quotePrefix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 quotePrefix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49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 quotePrefix="1">
      <alignment horizontal="right" vertical="center"/>
    </xf>
    <xf numFmtId="3" fontId="9" fillId="0" borderId="19" xfId="0" applyNumberFormat="1" applyFont="1" applyBorder="1" applyAlignment="1" quotePrefix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47" xfId="0" applyNumberFormat="1" applyFont="1" applyFill="1" applyBorder="1" applyAlignment="1">
      <alignment horizontal="right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left" vertical="center" wrapText="1"/>
    </xf>
    <xf numFmtId="3" fontId="9" fillId="33" borderId="51" xfId="0" applyNumberFormat="1" applyFont="1" applyFill="1" applyBorder="1" applyAlignment="1">
      <alignment vertical="center"/>
    </xf>
    <xf numFmtId="3" fontId="9" fillId="33" borderId="41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3" fontId="10" fillId="0" borderId="51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0" borderId="52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3" fontId="9" fillId="32" borderId="14" xfId="0" applyNumberFormat="1" applyFont="1" applyFill="1" applyBorder="1" applyAlignment="1">
      <alignment vertical="center"/>
    </xf>
    <xf numFmtId="0" fontId="9" fillId="32" borderId="14" xfId="53" applyFont="1" applyFill="1" applyBorder="1" applyAlignment="1">
      <alignment horizontal="left" vertical="center" wrapText="1"/>
      <protection/>
    </xf>
    <xf numFmtId="3" fontId="10" fillId="33" borderId="14" xfId="0" applyNumberFormat="1" applyFont="1" applyFill="1" applyBorder="1" applyAlignment="1">
      <alignment vertical="center"/>
    </xf>
    <xf numFmtId="3" fontId="9" fillId="33" borderId="47" xfId="0" applyNumberFormat="1" applyFont="1" applyFill="1" applyBorder="1" applyAlignment="1">
      <alignment horizontal="right" vertical="center"/>
    </xf>
    <xf numFmtId="3" fontId="9" fillId="32" borderId="47" xfId="0" applyNumberFormat="1" applyFont="1" applyFill="1" applyBorder="1" applyAlignment="1">
      <alignment horizontal="right" vertical="center"/>
    </xf>
    <xf numFmtId="0" fontId="10" fillId="0" borderId="14" xfId="53" applyFont="1" applyFill="1" applyBorder="1" applyAlignment="1">
      <alignment horizontal="left" vertical="center" wrapText="1"/>
      <protection/>
    </xf>
    <xf numFmtId="3" fontId="9" fillId="32" borderId="31" xfId="0" applyNumberFormat="1" applyFont="1" applyFill="1" applyBorder="1" applyAlignment="1">
      <alignment horizontal="right" vertical="center"/>
    </xf>
    <xf numFmtId="3" fontId="9" fillId="32" borderId="32" xfId="0" applyNumberFormat="1" applyFont="1" applyFill="1" applyBorder="1" applyAlignment="1">
      <alignment horizontal="right" vertical="center"/>
    </xf>
    <xf numFmtId="0" fontId="9" fillId="32" borderId="20" xfId="0" applyFont="1" applyFill="1" applyBorder="1" applyAlignment="1">
      <alignment horizontal="left" vertical="center" wrapText="1"/>
    </xf>
    <xf numFmtId="3" fontId="9" fillId="32" borderId="20" xfId="0" applyNumberFormat="1" applyFont="1" applyFill="1" applyBorder="1" applyAlignment="1">
      <alignment horizontal="right"/>
    </xf>
    <xf numFmtId="0" fontId="18" fillId="33" borderId="11" xfId="54" applyFont="1" applyFill="1" applyBorder="1" applyAlignment="1">
      <alignment horizontal="left" wrapText="1"/>
      <protection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32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/>
    </xf>
    <xf numFmtId="0" fontId="18" fillId="33" borderId="20" xfId="54" applyFont="1" applyFill="1" applyBorder="1" applyAlignment="1">
      <alignment horizontal="left" wrapText="1"/>
      <protection/>
    </xf>
    <xf numFmtId="3" fontId="9" fillId="33" borderId="20" xfId="0" applyNumberFormat="1" applyFont="1" applyFill="1" applyBorder="1" applyAlignment="1">
      <alignment horizontal="right" vertical="center"/>
    </xf>
    <xf numFmtId="0" fontId="20" fillId="0" borderId="14" xfId="54" applyFont="1" applyFill="1" applyBorder="1" applyAlignment="1">
      <alignment horizontal="left" wrapText="1"/>
      <protection/>
    </xf>
    <xf numFmtId="0" fontId="20" fillId="0" borderId="27" xfId="54" applyFont="1" applyFill="1" applyBorder="1" applyAlignment="1">
      <alignment horizontal="left" wrapText="1"/>
      <protection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7" xfId="0" applyNumberFormat="1" applyFont="1" applyBorder="1" applyAlignment="1">
      <alignment horizontal="right" vertical="center"/>
    </xf>
    <xf numFmtId="0" fontId="10" fillId="0" borderId="44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right" vertical="center" wrapText="1"/>
    </xf>
    <xf numFmtId="3" fontId="10" fillId="32" borderId="14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right" vertical="center"/>
    </xf>
    <xf numFmtId="3" fontId="9" fillId="33" borderId="52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 wrapText="1"/>
    </xf>
    <xf numFmtId="3" fontId="9" fillId="32" borderId="20" xfId="0" applyNumberFormat="1" applyFont="1" applyFill="1" applyBorder="1" applyAlignment="1">
      <alignment horizontal="right" vertical="center"/>
    </xf>
    <xf numFmtId="3" fontId="9" fillId="32" borderId="52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32" borderId="16" xfId="0" applyFont="1" applyFill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5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9" fillId="33" borderId="29" xfId="53" applyFont="1" applyFill="1" applyBorder="1" applyAlignment="1">
      <alignment horizontal="left" vertical="center" wrapText="1"/>
      <protection/>
    </xf>
    <xf numFmtId="3" fontId="8" fillId="32" borderId="14" xfId="0" applyNumberFormat="1" applyFont="1" applyFill="1" applyBorder="1" applyAlignment="1">
      <alignment vertical="center"/>
    </xf>
    <xf numFmtId="3" fontId="9" fillId="32" borderId="55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 quotePrefix="1">
      <alignment wrapText="1"/>
    </xf>
    <xf numFmtId="3" fontId="10" fillId="0" borderId="27" xfId="0" applyNumberFormat="1" applyFont="1" applyBorder="1" applyAlignment="1" quotePrefix="1">
      <alignment wrapText="1"/>
    </xf>
    <xf numFmtId="3" fontId="9" fillId="0" borderId="27" xfId="0" applyNumberFormat="1" applyFont="1" applyBorder="1" applyAlignment="1" quotePrefix="1">
      <alignment wrapText="1"/>
    </xf>
    <xf numFmtId="3" fontId="9" fillId="0" borderId="14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 quotePrefix="1">
      <alignment horizontal="right"/>
    </xf>
    <xf numFmtId="3" fontId="9" fillId="32" borderId="16" xfId="0" applyNumberFormat="1" applyFont="1" applyFill="1" applyBorder="1" applyAlignment="1">
      <alignment horizontal="right" vertical="center"/>
    </xf>
    <xf numFmtId="3" fontId="9" fillId="32" borderId="56" xfId="0" applyNumberFormat="1" applyFont="1" applyFill="1" applyBorder="1" applyAlignment="1">
      <alignment horizontal="right" vertical="center"/>
    </xf>
    <xf numFmtId="0" fontId="10" fillId="0" borderId="20" xfId="55" applyFont="1" applyFill="1" applyBorder="1" applyAlignment="1">
      <alignment horizontal="left" vertical="center" wrapText="1"/>
      <protection/>
    </xf>
    <xf numFmtId="3" fontId="9" fillId="0" borderId="39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 quotePrefix="1">
      <alignment horizontal="center" vertical="center"/>
    </xf>
    <xf numFmtId="3" fontId="9" fillId="0" borderId="27" xfId="0" applyNumberFormat="1" applyFont="1" applyBorder="1" applyAlignment="1">
      <alignment vertical="center" wrapText="1"/>
    </xf>
    <xf numFmtId="3" fontId="9" fillId="0" borderId="27" xfId="0" applyNumberFormat="1" applyFont="1" applyBorder="1" applyAlignment="1" quotePrefix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3" fontId="9" fillId="0" borderId="54" xfId="0" applyNumberFormat="1" applyFont="1" applyBorder="1" applyAlignment="1">
      <alignment horizontal="right" vertical="center"/>
    </xf>
    <xf numFmtId="3" fontId="9" fillId="0" borderId="57" xfId="0" applyNumberFormat="1" applyFont="1" applyBorder="1" applyAlignment="1">
      <alignment horizontal="right" vertical="center"/>
    </xf>
    <xf numFmtId="0" fontId="9" fillId="32" borderId="25" xfId="0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center"/>
    </xf>
    <xf numFmtId="3" fontId="9" fillId="32" borderId="16" xfId="0" applyNumberFormat="1" applyFont="1" applyFill="1" applyBorder="1" applyAlignment="1" quotePrefix="1">
      <alignment wrapText="1"/>
    </xf>
    <xf numFmtId="3" fontId="5" fillId="0" borderId="0" xfId="0" applyNumberFormat="1" applyFont="1" applyFill="1" applyBorder="1" applyAlignment="1" quotePrefix="1">
      <alignment horizontal="center"/>
    </xf>
    <xf numFmtId="49" fontId="10" fillId="0" borderId="2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3" fontId="7" fillId="0" borderId="28" xfId="0" applyNumberFormat="1" applyFont="1" applyBorder="1" applyAlignment="1" quotePrefix="1">
      <alignment horizontal="center" vertical="center" wrapText="1"/>
    </xf>
    <xf numFmtId="3" fontId="7" fillId="0" borderId="58" xfId="0" applyNumberFormat="1" applyFont="1" applyBorder="1" applyAlignment="1" quotePrefix="1">
      <alignment horizontal="center" vertical="center" wrapText="1"/>
    </xf>
    <xf numFmtId="0" fontId="13" fillId="0" borderId="2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 quotePrefix="1">
      <alignment horizontal="center" vertical="center" wrapText="1"/>
    </xf>
    <xf numFmtId="0" fontId="7" fillId="0" borderId="5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/>
    </xf>
    <xf numFmtId="0" fontId="13" fillId="0" borderId="12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9" fillId="32" borderId="12" xfId="0" applyNumberFormat="1" applyFont="1" applyFill="1" applyBorder="1" applyAlignment="1" quotePrefix="1">
      <alignment horizontal="center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3" fontId="68" fillId="0" borderId="0" xfId="0" applyNumberFormat="1" applyFont="1" applyAlignment="1" quotePrefix="1">
      <alignment horizontal="left" vertical="center" wrapText="1"/>
    </xf>
    <xf numFmtId="49" fontId="9" fillId="32" borderId="36" xfId="0" applyNumberFormat="1" applyFont="1" applyFill="1" applyBorder="1" applyAlignment="1" quotePrefix="1">
      <alignment horizontal="center" vertical="center" wrapText="1"/>
    </xf>
    <xf numFmtId="49" fontId="9" fillId="32" borderId="17" xfId="0" applyNumberFormat="1" applyFont="1" applyFill="1" applyBorder="1" applyAlignment="1" quotePrefix="1">
      <alignment horizontal="center" vertical="center" wrapText="1"/>
    </xf>
    <xf numFmtId="3" fontId="5" fillId="0" borderId="12" xfId="0" applyNumberFormat="1" applyFont="1" applyBorder="1" applyAlignment="1" quotePrefix="1">
      <alignment horizontal="center"/>
    </xf>
    <xf numFmtId="3" fontId="69" fillId="0" borderId="0" xfId="0" applyNumberFormat="1" applyFont="1" applyAlignment="1" quotePrefix="1">
      <alignment horizontal="center" vertical="center"/>
    </xf>
    <xf numFmtId="3" fontId="9" fillId="0" borderId="36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64" fillId="32" borderId="39" xfId="0" applyNumberFormat="1" applyFont="1" applyFill="1" applyBorder="1" applyAlignment="1" quotePrefix="1">
      <alignment horizontal="left" vertical="center" wrapText="1"/>
    </xf>
    <xf numFmtId="3" fontId="7" fillId="0" borderId="59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5" fillId="32" borderId="12" xfId="0" applyNumberFormat="1" applyFont="1" applyFill="1" applyBorder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32" borderId="36" xfId="0" applyNumberFormat="1" applyFont="1" applyFill="1" applyBorder="1" applyAlignment="1" quotePrefix="1">
      <alignment horizontal="left" vertical="center"/>
    </xf>
    <xf numFmtId="3" fontId="9" fillId="32" borderId="17" xfId="0" applyNumberFormat="1" applyFont="1" applyFill="1" applyBorder="1" applyAlignment="1" quotePrefix="1">
      <alignment horizontal="left" vertical="center"/>
    </xf>
    <xf numFmtId="49" fontId="9" fillId="32" borderId="12" xfId="0" applyNumberFormat="1" applyFont="1" applyFill="1" applyBorder="1" applyAlignment="1" quotePrefix="1">
      <alignment horizontal="left" vertical="center"/>
    </xf>
    <xf numFmtId="49" fontId="9" fillId="32" borderId="36" xfId="0" applyNumberFormat="1" applyFont="1" applyFill="1" applyBorder="1" applyAlignment="1" quotePrefix="1">
      <alignment horizontal="left" vertical="center"/>
    </xf>
    <xf numFmtId="49" fontId="9" fillId="32" borderId="17" xfId="0" applyNumberFormat="1" applyFont="1" applyFill="1" applyBorder="1" applyAlignment="1" quotePrefix="1">
      <alignment horizontal="left" vertical="center"/>
    </xf>
    <xf numFmtId="3" fontId="6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36" borderId="0" xfId="0" applyNumberFormat="1" applyFont="1" applyFill="1" applyAlignment="1">
      <alignment horizontal="center" vertical="center"/>
    </xf>
    <xf numFmtId="49" fontId="9" fillId="32" borderId="36" xfId="0" applyNumberFormat="1" applyFont="1" applyFill="1" applyBorder="1" applyAlignment="1" quotePrefix="1">
      <alignment horizontal="left" vertical="center" wrapText="1"/>
    </xf>
    <xf numFmtId="49" fontId="9" fillId="32" borderId="17" xfId="0" applyNumberFormat="1" applyFont="1" applyFill="1" applyBorder="1" applyAlignment="1" quotePrefix="1">
      <alignment horizontal="left" vertical="center" wrapText="1"/>
    </xf>
    <xf numFmtId="3" fontId="9" fillId="32" borderId="36" xfId="0" applyNumberFormat="1" applyFont="1" applyFill="1" applyBorder="1" applyAlignment="1" quotePrefix="1">
      <alignment horizontal="center" vertical="center"/>
    </xf>
    <xf numFmtId="3" fontId="9" fillId="32" borderId="17" xfId="0" applyNumberFormat="1" applyFont="1" applyFill="1" applyBorder="1" applyAlignment="1" quotePrefix="1">
      <alignment horizontal="center" vertical="center"/>
    </xf>
    <xf numFmtId="3" fontId="9" fillId="32" borderId="18" xfId="0" applyNumberFormat="1" applyFont="1" applyFill="1" applyBorder="1" applyAlignment="1" quotePrefix="1">
      <alignment horizontal="center" vertical="center"/>
    </xf>
    <xf numFmtId="3" fontId="9" fillId="32" borderId="19" xfId="0" applyNumberFormat="1" applyFont="1" applyFill="1" applyBorder="1" applyAlignment="1" quotePrefix="1">
      <alignment horizontal="center" vertical="center"/>
    </xf>
    <xf numFmtId="3" fontId="70" fillId="0" borderId="0" xfId="0" applyNumberFormat="1" applyFont="1" applyAlignment="1" quotePrefix="1">
      <alignment horizontal="left" vertical="center" wrapText="1"/>
    </xf>
    <xf numFmtId="3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right" vertical="center"/>
    </xf>
    <xf numFmtId="49" fontId="9" fillId="0" borderId="35" xfId="0" applyNumberFormat="1" applyFont="1" applyBorder="1" applyAlignment="1">
      <alignment horizontal="right" vertical="center"/>
    </xf>
    <xf numFmtId="49" fontId="9" fillId="0" borderId="60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right" vertical="center"/>
    </xf>
    <xf numFmtId="3" fontId="69" fillId="0" borderId="0" xfId="0" applyNumberFormat="1" applyFont="1" applyAlignment="1">
      <alignment horizontal="center" vertical="center"/>
    </xf>
    <xf numFmtId="3" fontId="5" fillId="32" borderId="12" xfId="0" applyNumberFormat="1" applyFont="1" applyFill="1" applyBorder="1" applyAlignment="1" quotePrefix="1">
      <alignment horizontal="center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 horizont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Obično_List4" xfId="53"/>
    <cellStyle name="Obično_List5" xfId="54"/>
    <cellStyle name="Obično_List7" xfId="55"/>
    <cellStyle name="Obično_List8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zoomScale="85" zoomScaleNormal="85" zoomScalePageLayoutView="0" workbookViewId="0" topLeftCell="A1">
      <selection activeCell="F102" sqref="F102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475" t="s">
        <v>228</v>
      </c>
      <c r="B1" s="475"/>
      <c r="C1" s="475"/>
      <c r="D1" s="475"/>
      <c r="E1" s="475"/>
      <c r="F1" s="475"/>
      <c r="G1" s="475"/>
      <c r="H1" s="2"/>
      <c r="I1" s="2"/>
      <c r="J1" s="2"/>
    </row>
    <row r="2" spans="1:10" ht="20.25">
      <c r="A2" s="464" t="s">
        <v>227</v>
      </c>
      <c r="B2" s="464"/>
      <c r="C2" s="464"/>
      <c r="D2" s="464"/>
      <c r="E2" s="464"/>
      <c r="F2" s="464"/>
      <c r="G2" s="464"/>
      <c r="H2" s="464"/>
      <c r="I2" s="2"/>
      <c r="J2" s="2"/>
    </row>
    <row r="4" spans="1:7" ht="20.25">
      <c r="A4" s="474" t="s">
        <v>28</v>
      </c>
      <c r="B4" s="474"/>
      <c r="C4" s="474"/>
      <c r="D4" s="474"/>
      <c r="E4" s="474"/>
      <c r="F4" s="474"/>
      <c r="G4" s="474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468" t="s">
        <v>29</v>
      </c>
      <c r="B6" s="470" t="s">
        <v>3</v>
      </c>
      <c r="C6" s="470" t="s">
        <v>74</v>
      </c>
      <c r="D6" s="465" t="s">
        <v>169</v>
      </c>
      <c r="E6" s="465" t="s">
        <v>170</v>
      </c>
      <c r="F6" s="465" t="s">
        <v>171</v>
      </c>
      <c r="G6" s="465" t="s">
        <v>75</v>
      </c>
      <c r="H6" s="465" t="s">
        <v>75</v>
      </c>
    </row>
    <row r="7" spans="1:8" ht="31.5" customHeight="1">
      <c r="A7" s="469"/>
      <c r="B7" s="471"/>
      <c r="C7" s="471"/>
      <c r="D7" s="466"/>
      <c r="E7" s="466"/>
      <c r="F7" s="466"/>
      <c r="G7" s="466"/>
      <c r="H7" s="466"/>
    </row>
    <row r="8" spans="1:8" s="75" customFormat="1" ht="12">
      <c r="A8" s="473">
        <v>1</v>
      </c>
      <c r="B8" s="473"/>
      <c r="C8" s="73">
        <v>2</v>
      </c>
      <c r="D8" s="74">
        <v>3</v>
      </c>
      <c r="E8" s="74">
        <v>4</v>
      </c>
      <c r="F8" s="74">
        <v>5</v>
      </c>
      <c r="G8" s="74" t="s">
        <v>76</v>
      </c>
      <c r="H8" s="74" t="s">
        <v>77</v>
      </c>
    </row>
    <row r="9" spans="1:8" ht="30">
      <c r="A9" s="178">
        <v>67</v>
      </c>
      <c r="B9" s="179" t="s">
        <v>37</v>
      </c>
      <c r="C9" s="158">
        <f>SUM(C10:C11)</f>
        <v>1179843.29</v>
      </c>
      <c r="D9" s="158">
        <f>SUM(D10:D11)</f>
        <v>1003292.14</v>
      </c>
      <c r="E9" s="158">
        <f>SUM(E10:E11)</f>
        <v>1027979.64</v>
      </c>
      <c r="F9" s="158">
        <f>SUM(F10:F11)</f>
        <v>1023702.88</v>
      </c>
      <c r="G9" s="158">
        <f>F9/C9*100</f>
        <v>86.7660043224893</v>
      </c>
      <c r="H9" s="182">
        <f>F9/E9*100</f>
        <v>99.58396452287712</v>
      </c>
    </row>
    <row r="10" spans="1:8" ht="30">
      <c r="A10" s="148">
        <v>6711</v>
      </c>
      <c r="B10" s="21" t="s">
        <v>38</v>
      </c>
      <c r="C10" s="82">
        <f>+'Prihodi i rashodi PR,EK i IZ'!C10</f>
        <v>1054843.29</v>
      </c>
      <c r="D10" s="82">
        <f>+'Prihodi i rashodi PR,EK i IZ'!D10</f>
        <v>1003292.14</v>
      </c>
      <c r="E10" s="82">
        <f>+'Prihodi i rashodi PR,EK i IZ'!E10</f>
        <v>1027979.64</v>
      </c>
      <c r="F10" s="82">
        <f>+'Prihodi i rashodi PR,EK i IZ'!F10</f>
        <v>1023702.88</v>
      </c>
      <c r="G10" s="61">
        <f aca="true" t="shared" si="0" ref="G10:G27">F10/C10*100</f>
        <v>97.04786385852631</v>
      </c>
      <c r="H10" s="64">
        <f aca="true" t="shared" si="1" ref="H10:H27">F10/E10*100</f>
        <v>99.58396452287712</v>
      </c>
    </row>
    <row r="11" spans="1:10" ht="30">
      <c r="A11" s="148">
        <v>6712</v>
      </c>
      <c r="B11" s="21" t="s">
        <v>39</v>
      </c>
      <c r="C11" s="82">
        <f>+'Prihodi i rashodi PR,EK i IZ'!C11</f>
        <v>125000</v>
      </c>
      <c r="D11" s="82">
        <f>+'Prihodi i rashodi PR,EK i IZ'!D11</f>
        <v>0</v>
      </c>
      <c r="E11" s="82">
        <f>+'Prihodi i rashodi PR,EK i IZ'!E11</f>
        <v>0</v>
      </c>
      <c r="F11" s="82">
        <f>+'Prihodi i rashodi PR,EK i IZ'!F11</f>
        <v>0</v>
      </c>
      <c r="G11" s="61">
        <f t="shared" si="0"/>
        <v>0</v>
      </c>
      <c r="H11" s="64" t="e">
        <f t="shared" si="1"/>
        <v>#DIV/0!</v>
      </c>
      <c r="I11" s="1"/>
      <c r="J11" s="9"/>
    </row>
    <row r="12" spans="1:8" ht="30">
      <c r="A12" s="180">
        <v>66</v>
      </c>
      <c r="B12" s="181" t="s">
        <v>44</v>
      </c>
      <c r="C12" s="159">
        <f>SUM(C13:C14)</f>
        <v>54022.02</v>
      </c>
      <c r="D12" s="159">
        <f>SUM(D13:D14)</f>
        <v>36202</v>
      </c>
      <c r="E12" s="159">
        <f>SUM(E13:E14)</f>
        <v>36202</v>
      </c>
      <c r="F12" s="159">
        <f>SUM(F13:F14)</f>
        <v>31747</v>
      </c>
      <c r="G12" s="158">
        <f t="shared" si="0"/>
        <v>58.766776955026856</v>
      </c>
      <c r="H12" s="182">
        <f t="shared" si="1"/>
        <v>87.69405005248329</v>
      </c>
    </row>
    <row r="13" spans="1:8" ht="30">
      <c r="A13" s="343">
        <v>661</v>
      </c>
      <c r="B13" s="344" t="s">
        <v>43</v>
      </c>
      <c r="C13" s="345">
        <f>+'Prihodi i rashodi PR,EK i IZ'!C20</f>
        <v>49776.02</v>
      </c>
      <c r="D13" s="345">
        <f>+'Prihodi i rashodi PR,EK i IZ'!D20</f>
        <v>23708</v>
      </c>
      <c r="E13" s="345">
        <f>+'Prihodi i rashodi PR,EK i IZ'!E20</f>
        <v>23708</v>
      </c>
      <c r="F13" s="345">
        <f>+'Prihodi i rashodi PR,EK i IZ'!F20</f>
        <v>19253</v>
      </c>
      <c r="G13" s="162">
        <f t="shared" si="0"/>
        <v>38.679267647353086</v>
      </c>
      <c r="H13" s="183">
        <f t="shared" si="1"/>
        <v>81.20887464147123</v>
      </c>
    </row>
    <row r="14" spans="1:8" ht="15">
      <c r="A14" s="343">
        <v>663</v>
      </c>
      <c r="B14" s="344" t="s">
        <v>126</v>
      </c>
      <c r="C14" s="345">
        <f>+'Prihodi i rashodi PR,EK i IZ'!C53</f>
        <v>4246</v>
      </c>
      <c r="D14" s="345">
        <f>+'Prihodi i rashodi PR,EK i IZ'!D53</f>
        <v>12494</v>
      </c>
      <c r="E14" s="345">
        <f>+'Prihodi i rashodi PR,EK i IZ'!E53</f>
        <v>12494</v>
      </c>
      <c r="F14" s="345">
        <f>+'Prihodi i rashodi PR,EK i IZ'!F53</f>
        <v>12494</v>
      </c>
      <c r="G14" s="162">
        <f t="shared" si="0"/>
        <v>294.2534149788036</v>
      </c>
      <c r="H14" s="183">
        <f t="shared" si="1"/>
        <v>100</v>
      </c>
    </row>
    <row r="15" spans="1:17" s="15" customFormat="1" ht="15">
      <c r="A15" s="165">
        <v>652</v>
      </c>
      <c r="B15" s="166" t="s">
        <v>49</v>
      </c>
      <c r="C15" s="163">
        <f>SUM(C16:C17)</f>
        <v>159760</v>
      </c>
      <c r="D15" s="163">
        <f>SUM(D16:D17)</f>
        <v>158000</v>
      </c>
      <c r="E15" s="163">
        <f>SUM(E16:E17)</f>
        <v>158000</v>
      </c>
      <c r="F15" s="163">
        <f>SUM(F16:F17)</f>
        <v>152220</v>
      </c>
      <c r="G15" s="162">
        <f t="shared" si="0"/>
        <v>95.28042063094642</v>
      </c>
      <c r="H15" s="183">
        <f t="shared" si="1"/>
        <v>96.34177215189872</v>
      </c>
      <c r="I15" s="93"/>
      <c r="J15" s="93"/>
      <c r="K15" s="93"/>
      <c r="L15" s="93"/>
      <c r="M15" s="69"/>
      <c r="N15" s="70"/>
      <c r="O15" s="70"/>
      <c r="P15" s="16"/>
      <c r="Q15" s="16"/>
    </row>
    <row r="16" spans="1:17" s="19" customFormat="1" ht="30">
      <c r="A16" s="148">
        <v>65264</v>
      </c>
      <c r="B16" s="21" t="s">
        <v>50</v>
      </c>
      <c r="C16" s="82">
        <f>+'Prihodi i rashodi PR,EK i IZ'!C30</f>
        <v>159760</v>
      </c>
      <c r="D16" s="82">
        <f>+'Prihodi i rashodi PR,EK i IZ'!D30</f>
        <v>158000</v>
      </c>
      <c r="E16" s="82">
        <f>+'Prihodi i rashodi PR,EK i IZ'!E30</f>
        <v>158000</v>
      </c>
      <c r="F16" s="82">
        <f>+'Prihodi i rashodi PR,EK i IZ'!F30</f>
        <v>152220</v>
      </c>
      <c r="G16" s="61">
        <f t="shared" si="0"/>
        <v>95.28042063094642</v>
      </c>
      <c r="H16" s="64">
        <f t="shared" si="1"/>
        <v>96.34177215189872</v>
      </c>
      <c r="I16" s="12"/>
      <c r="J16" s="12"/>
      <c r="K16" s="12"/>
      <c r="L16" s="12"/>
      <c r="M16" s="17"/>
      <c r="N16" s="17"/>
      <c r="O16" s="12"/>
      <c r="P16" s="18"/>
      <c r="Q16" s="18"/>
    </row>
    <row r="17" spans="1:17" s="19" customFormat="1" ht="30">
      <c r="A17" s="148">
        <v>65269</v>
      </c>
      <c r="B17" s="21" t="s">
        <v>125</v>
      </c>
      <c r="C17" s="82"/>
      <c r="D17" s="22"/>
      <c r="E17" s="22">
        <f>+D17</f>
        <v>0</v>
      </c>
      <c r="F17" s="22"/>
      <c r="G17" s="61" t="e">
        <f t="shared" si="0"/>
        <v>#DIV/0!</v>
      </c>
      <c r="H17" s="64" t="e">
        <f t="shared" si="1"/>
        <v>#DIV/0!</v>
      </c>
      <c r="I17" s="12"/>
      <c r="J17" s="12"/>
      <c r="K17" s="12"/>
      <c r="L17" s="12"/>
      <c r="M17" s="17"/>
      <c r="N17" s="17"/>
      <c r="O17" s="12"/>
      <c r="P17" s="18"/>
      <c r="Q17" s="18"/>
    </row>
    <row r="18" spans="1:17" s="19" customFormat="1" ht="15">
      <c r="A18" s="248">
        <v>64</v>
      </c>
      <c r="B18" s="225" t="s">
        <v>175</v>
      </c>
      <c r="C18" s="226">
        <f>+C19</f>
        <v>0</v>
      </c>
      <c r="D18" s="226">
        <f>+D19</f>
        <v>10</v>
      </c>
      <c r="E18" s="226">
        <f>+E19</f>
        <v>10</v>
      </c>
      <c r="F18" s="226">
        <f>+F19</f>
        <v>1</v>
      </c>
      <c r="G18" s="249" t="e">
        <f>F18/C18*100</f>
        <v>#DIV/0!</v>
      </c>
      <c r="H18" s="182">
        <f>F18/E18*100</f>
        <v>10</v>
      </c>
      <c r="I18" s="12"/>
      <c r="J18" s="12"/>
      <c r="K18" s="12"/>
      <c r="L18" s="12"/>
      <c r="M18" s="17"/>
      <c r="N18" s="17"/>
      <c r="O18" s="12"/>
      <c r="P18" s="18"/>
      <c r="Q18" s="18"/>
    </row>
    <row r="19" spans="1:17" s="19" customFormat="1" ht="15">
      <c r="A19" s="148">
        <v>64132</v>
      </c>
      <c r="B19" s="21" t="s">
        <v>176</v>
      </c>
      <c r="C19" s="82">
        <f>+'Prihodi i rashodi PR,EK i IZ'!C19</f>
        <v>0</v>
      </c>
      <c r="D19" s="82">
        <f>+'Prihodi i rashodi PR,EK i IZ'!D19</f>
        <v>10</v>
      </c>
      <c r="E19" s="82">
        <f>+'Prihodi i rashodi PR,EK i IZ'!E19</f>
        <v>10</v>
      </c>
      <c r="F19" s="82">
        <f>+'Prihodi i rashodi PR,EK i IZ'!F19</f>
        <v>1</v>
      </c>
      <c r="G19" s="61"/>
      <c r="H19" s="64"/>
      <c r="I19" s="12"/>
      <c r="J19" s="12"/>
      <c r="K19" s="12"/>
      <c r="L19" s="12"/>
      <c r="M19" s="17"/>
      <c r="N19" s="17"/>
      <c r="O19" s="12"/>
      <c r="P19" s="18"/>
      <c r="Q19" s="18"/>
    </row>
    <row r="20" spans="1:8" ht="30">
      <c r="A20" s="180">
        <v>63</v>
      </c>
      <c r="B20" s="181" t="s">
        <v>34</v>
      </c>
      <c r="C20" s="159">
        <f>SUM(C21:C23)</f>
        <v>12849764.67</v>
      </c>
      <c r="D20" s="159">
        <f>SUM(D21:D23)</f>
        <v>12756905.32</v>
      </c>
      <c r="E20" s="159">
        <f>SUM(E21:E23)</f>
        <v>12756905.32</v>
      </c>
      <c r="F20" s="159">
        <f>SUM(F21:F23)</f>
        <v>13410880.200000001</v>
      </c>
      <c r="G20" s="158">
        <f t="shared" si="0"/>
        <v>104.36673779178247</v>
      </c>
      <c r="H20" s="182">
        <f t="shared" si="1"/>
        <v>105.12643829828158</v>
      </c>
    </row>
    <row r="21" spans="1:8" ht="15.75" customHeight="1">
      <c r="A21" s="343">
        <v>633</v>
      </c>
      <c r="B21" s="344" t="s">
        <v>128</v>
      </c>
      <c r="C21" s="345"/>
      <c r="D21" s="346"/>
      <c r="E21" s="346">
        <f>+D21</f>
        <v>0</v>
      </c>
      <c r="F21" s="346"/>
      <c r="G21" s="162" t="e">
        <f t="shared" si="0"/>
        <v>#DIV/0!</v>
      </c>
      <c r="H21" s="183" t="e">
        <f t="shared" si="1"/>
        <v>#DIV/0!</v>
      </c>
    </row>
    <row r="22" spans="1:8" ht="30">
      <c r="A22" s="347">
        <v>636</v>
      </c>
      <c r="B22" s="348" t="s">
        <v>54</v>
      </c>
      <c r="C22" s="349">
        <f>+'Prihodi i rashodi PR,EK i IZ'!C42</f>
        <v>12849764.67</v>
      </c>
      <c r="D22" s="349">
        <f>+'Prihodi i rashodi PR,EK i IZ'!D42</f>
        <v>12756905.32</v>
      </c>
      <c r="E22" s="349">
        <f>+'Prihodi i rashodi PR,EK i IZ'!E42</f>
        <v>12756905.32</v>
      </c>
      <c r="F22" s="349">
        <f>+'Prihodi i rashodi PR,EK i IZ'!F42</f>
        <v>13410880.200000001</v>
      </c>
      <c r="G22" s="162">
        <f t="shared" si="0"/>
        <v>104.36673779178247</v>
      </c>
      <c r="H22" s="183">
        <f t="shared" si="1"/>
        <v>105.12643829828158</v>
      </c>
    </row>
    <row r="23" spans="1:8" ht="30">
      <c r="A23" s="343">
        <v>638</v>
      </c>
      <c r="B23" s="344" t="s">
        <v>127</v>
      </c>
      <c r="C23" s="345"/>
      <c r="D23" s="346"/>
      <c r="E23" s="346">
        <f>+D23</f>
        <v>0</v>
      </c>
      <c r="F23" s="346"/>
      <c r="G23" s="162" t="e">
        <f t="shared" si="0"/>
        <v>#DIV/0!</v>
      </c>
      <c r="H23" s="183" t="e">
        <f t="shared" si="1"/>
        <v>#DIV/0!</v>
      </c>
    </row>
    <row r="24" spans="1:10" ht="15">
      <c r="A24" s="149"/>
      <c r="B24" s="72"/>
      <c r="C24" s="150"/>
      <c r="D24" s="23"/>
      <c r="E24" s="23">
        <f>+D24</f>
        <v>0</v>
      </c>
      <c r="F24" s="23"/>
      <c r="G24" s="160"/>
      <c r="H24" s="161"/>
      <c r="J24" s="335"/>
    </row>
    <row r="25" spans="1:8" ht="30">
      <c r="A25" s="248">
        <v>72</v>
      </c>
      <c r="B25" s="225" t="s">
        <v>177</v>
      </c>
      <c r="C25" s="226">
        <f>+C26</f>
        <v>877.8</v>
      </c>
      <c r="D25" s="226">
        <f>+D26</f>
        <v>1465.8</v>
      </c>
      <c r="E25" s="226">
        <f>+E26</f>
        <v>1465.8</v>
      </c>
      <c r="F25" s="226">
        <f>+F26</f>
        <v>1129.8</v>
      </c>
      <c r="G25" s="159">
        <f>F25/C25*100</f>
        <v>128.70813397129186</v>
      </c>
      <c r="H25" s="250">
        <f>F25/E25*100</f>
        <v>77.07736389684814</v>
      </c>
    </row>
    <row r="26" spans="1:8" ht="15">
      <c r="A26" s="149">
        <v>72119</v>
      </c>
      <c r="B26" s="72" t="s">
        <v>178</v>
      </c>
      <c r="C26" s="150">
        <f>+'Prihodi i rashodi PR,EK i IZ'!C63</f>
        <v>877.8</v>
      </c>
      <c r="D26" s="150">
        <f>+'Prihodi i rashodi PR,EK i IZ'!D63</f>
        <v>1465.8</v>
      </c>
      <c r="E26" s="150">
        <f>+'Prihodi i rashodi PR,EK i IZ'!E63</f>
        <v>1465.8</v>
      </c>
      <c r="F26" s="150">
        <f>+'Prihodi i rashodi PR,EK i IZ'!F63</f>
        <v>1129.8</v>
      </c>
      <c r="G26" s="251">
        <f t="shared" si="0"/>
        <v>128.70813397129186</v>
      </c>
      <c r="H26" s="252">
        <f t="shared" si="1"/>
        <v>77.07736389684814</v>
      </c>
    </row>
    <row r="27" spans="1:8" s="50" customFormat="1" ht="19.5">
      <c r="A27" s="472" t="s">
        <v>115</v>
      </c>
      <c r="B27" s="472"/>
      <c r="C27" s="103">
        <f>SUM(C9,C12,C15,C20)+C25+C18</f>
        <v>14244267.780000001</v>
      </c>
      <c r="D27" s="103">
        <f>SUM(D9,D12,D15,D20)+D25+D18</f>
        <v>13955875.260000002</v>
      </c>
      <c r="E27" s="103">
        <f>SUM(E9,E12,E15,E20)+E25+E18</f>
        <v>13980562.760000002</v>
      </c>
      <c r="F27" s="103">
        <f>SUM(F9,F12,F15,F20)+F25+F18</f>
        <v>14619680.880000003</v>
      </c>
      <c r="G27" s="10">
        <f t="shared" si="0"/>
        <v>102.63553806905476</v>
      </c>
      <c r="H27" s="10">
        <f t="shared" si="1"/>
        <v>104.57147634878183</v>
      </c>
    </row>
    <row r="28" spans="1:8" ht="15">
      <c r="A28" s="11"/>
      <c r="B28" s="11"/>
      <c r="C28" s="102"/>
      <c r="D28" s="102"/>
      <c r="E28" s="102"/>
      <c r="F28" s="102"/>
      <c r="G28" s="12"/>
      <c r="H28" s="12"/>
    </row>
    <row r="29" ht="14.25" customHeight="1"/>
    <row r="30" spans="1:8" s="109" customFormat="1" ht="28.5" customHeight="1">
      <c r="A30" s="474" t="s">
        <v>27</v>
      </c>
      <c r="B30" s="474"/>
      <c r="C30" s="474"/>
      <c r="D30" s="474"/>
      <c r="E30" s="474"/>
      <c r="F30" s="474"/>
      <c r="G30" s="474"/>
      <c r="H30" s="106"/>
    </row>
    <row r="31" spans="1:8" s="109" customFormat="1" ht="15" customHeight="1">
      <c r="A31" s="468" t="s">
        <v>78</v>
      </c>
      <c r="B31" s="470" t="s">
        <v>3</v>
      </c>
      <c r="C31" s="470" t="s">
        <v>74</v>
      </c>
      <c r="D31" s="465" t="s">
        <v>169</v>
      </c>
      <c r="E31" s="465" t="s">
        <v>170</v>
      </c>
      <c r="F31" s="465" t="s">
        <v>171</v>
      </c>
      <c r="G31" s="465" t="s">
        <v>75</v>
      </c>
      <c r="H31" s="465" t="s">
        <v>75</v>
      </c>
    </row>
    <row r="32" spans="1:8" s="109" customFormat="1" ht="33.75" customHeight="1">
      <c r="A32" s="469"/>
      <c r="B32" s="471"/>
      <c r="C32" s="471"/>
      <c r="D32" s="466"/>
      <c r="E32" s="466"/>
      <c r="F32" s="466"/>
      <c r="G32" s="466"/>
      <c r="H32" s="466"/>
    </row>
    <row r="33" spans="1:8" s="109" customFormat="1" ht="15" customHeight="1">
      <c r="A33" s="467">
        <v>1</v>
      </c>
      <c r="B33" s="467"/>
      <c r="C33" s="107">
        <v>2</v>
      </c>
      <c r="D33" s="108">
        <v>3</v>
      </c>
      <c r="E33" s="108">
        <v>4</v>
      </c>
      <c r="F33" s="108">
        <v>5</v>
      </c>
      <c r="G33" s="108" t="s">
        <v>76</v>
      </c>
      <c r="H33" s="108" t="s">
        <v>77</v>
      </c>
    </row>
    <row r="34" spans="1:8" s="111" customFormat="1" ht="15" customHeight="1">
      <c r="A34" s="171">
        <v>31</v>
      </c>
      <c r="B34" s="172" t="s">
        <v>7</v>
      </c>
      <c r="C34" s="173">
        <f>SUM(C35,C38,C40)</f>
        <v>12631286.919999998</v>
      </c>
      <c r="D34" s="173">
        <f>SUM(D35,D38,D40)</f>
        <v>12670697</v>
      </c>
      <c r="E34" s="173">
        <f>SUM(E35,E38,E40)</f>
        <v>12670697</v>
      </c>
      <c r="F34" s="173">
        <f>SUM(F35,F38,F40)</f>
        <v>13327998.9</v>
      </c>
      <c r="G34" s="446">
        <f aca="true" t="shared" si="2" ref="G34:G72">F34/C34*100</f>
        <v>105.51576402636258</v>
      </c>
      <c r="H34" s="447">
        <f aca="true" t="shared" si="3" ref="H34:H98">F34/E34*100</f>
        <v>105.18757492188473</v>
      </c>
    </row>
    <row r="35" spans="1:8" s="111" customFormat="1" ht="15" customHeight="1">
      <c r="A35" s="167">
        <v>311</v>
      </c>
      <c r="B35" s="168" t="s">
        <v>8</v>
      </c>
      <c r="C35" s="169">
        <f>SUM(C36)+C37</f>
        <v>10498132.519999998</v>
      </c>
      <c r="D35" s="169">
        <f>SUM(D36)+D37</f>
        <v>10525617</v>
      </c>
      <c r="E35" s="169">
        <f>SUM(E36)+E37</f>
        <v>10525617</v>
      </c>
      <c r="F35" s="169">
        <f>SUM(F36)+F37</f>
        <v>11003771</v>
      </c>
      <c r="G35" s="162">
        <f t="shared" si="2"/>
        <v>104.81646120428285</v>
      </c>
      <c r="H35" s="183">
        <f t="shared" si="3"/>
        <v>104.54276457142609</v>
      </c>
    </row>
    <row r="36" spans="1:8" s="109" customFormat="1" ht="15" customHeight="1">
      <c r="A36" s="114">
        <v>3111</v>
      </c>
      <c r="B36" s="72" t="s">
        <v>83</v>
      </c>
      <c r="C36" s="110">
        <f>+'Prihodi i rashodi PR,EK i IZ'!C282+'Prihodi i rashodi PR,EK i IZ'!C442+'Prihodi i rashodi PR,EK i IZ'!C450+'Prihodi i rashodi PR,EK i IZ'!C463</f>
        <v>10373056.019999998</v>
      </c>
      <c r="D36" s="110">
        <f>+'Prihodi i rashodi PR,EK i IZ'!D282+'Prihodi i rashodi PR,EK i IZ'!D442+'Prihodi i rashodi PR,EK i IZ'!D450+'Prihodi i rashodi PR,EK i IZ'!D463</f>
        <v>10343217</v>
      </c>
      <c r="E36" s="110">
        <f>+'Prihodi i rashodi PR,EK i IZ'!E282+'Prihodi i rashodi PR,EK i IZ'!E442+'Prihodi i rashodi PR,EK i IZ'!E450+'Prihodi i rashodi PR,EK i IZ'!E463</f>
        <v>10343217</v>
      </c>
      <c r="F36" s="110">
        <f>+'Prihodi i rashodi PR,EK i IZ'!F282+'Prihodi i rashodi PR,EK i IZ'!F442+'Prihodi i rashodi PR,EK i IZ'!F450+'Prihodi i rashodi PR,EK i IZ'!F463</f>
        <v>10782457</v>
      </c>
      <c r="G36" s="61">
        <f t="shared" si="2"/>
        <v>103.94677305521776</v>
      </c>
      <c r="H36" s="64">
        <f t="shared" si="3"/>
        <v>104.2466478272669</v>
      </c>
    </row>
    <row r="37" spans="1:8" s="109" customFormat="1" ht="15" customHeight="1">
      <c r="A37" s="114">
        <v>3113</v>
      </c>
      <c r="B37" s="21" t="s">
        <v>182</v>
      </c>
      <c r="C37" s="110">
        <f>+'Prihodi i rashodi PR,EK i IZ'!C283</f>
        <v>125076.5</v>
      </c>
      <c r="D37" s="110">
        <f>+'Prihodi i rashodi PR,EK i IZ'!D283</f>
        <v>182400</v>
      </c>
      <c r="E37" s="110">
        <f>+'Prihodi i rashodi PR,EK i IZ'!E283</f>
        <v>182400</v>
      </c>
      <c r="F37" s="110">
        <f>+'Prihodi i rashodi PR,EK i IZ'!F283</f>
        <v>221314</v>
      </c>
      <c r="G37" s="61">
        <f>F37/C37*100</f>
        <v>176.94291093850563</v>
      </c>
      <c r="H37" s="64">
        <f>F37/E37*100</f>
        <v>121.3344298245614</v>
      </c>
    </row>
    <row r="38" spans="1:8" s="111" customFormat="1" ht="15">
      <c r="A38" s="167">
        <v>312</v>
      </c>
      <c r="B38" s="168" t="s">
        <v>9</v>
      </c>
      <c r="C38" s="169">
        <f>SUM(C39)</f>
        <v>384347.78</v>
      </c>
      <c r="D38" s="169">
        <f>SUM(D39)</f>
        <v>408353</v>
      </c>
      <c r="E38" s="169">
        <f>SUM(E39)</f>
        <v>408353</v>
      </c>
      <c r="F38" s="169">
        <f>SUM(F39)</f>
        <v>493811.4</v>
      </c>
      <c r="G38" s="162">
        <f t="shared" si="2"/>
        <v>128.48035703497493</v>
      </c>
      <c r="H38" s="183">
        <f t="shared" si="3"/>
        <v>120.92757981452323</v>
      </c>
    </row>
    <row r="39" spans="1:10" s="109" customFormat="1" ht="15">
      <c r="A39" s="114" t="s">
        <v>94</v>
      </c>
      <c r="B39" s="118" t="s">
        <v>9</v>
      </c>
      <c r="C39" s="110">
        <f>+'Prihodi i rashodi PR,EK i IZ'!C196+'Prihodi i rashodi PR,EK i IZ'!C285+'Prihodi i rashodi PR,EK i IZ'!C326</f>
        <v>384347.78</v>
      </c>
      <c r="D39" s="110">
        <f>+'Prihodi i rashodi PR,EK i IZ'!D196+'Prihodi i rashodi PR,EK i IZ'!D285+'Prihodi i rashodi PR,EK i IZ'!D326</f>
        <v>408353</v>
      </c>
      <c r="E39" s="110">
        <f>+'Prihodi i rashodi PR,EK i IZ'!E196+'Prihodi i rashodi PR,EK i IZ'!E285+'Prihodi i rashodi PR,EK i IZ'!E326</f>
        <v>408353</v>
      </c>
      <c r="F39" s="110">
        <f>+'Prihodi i rashodi PR,EK i IZ'!F196+'Prihodi i rashodi PR,EK i IZ'!F285+'Prihodi i rashodi PR,EK i IZ'!F326</f>
        <v>493811.4</v>
      </c>
      <c r="G39" s="61">
        <f t="shared" si="2"/>
        <v>128.48035703497493</v>
      </c>
      <c r="H39" s="64">
        <f t="shared" si="3"/>
        <v>120.92757981452323</v>
      </c>
      <c r="J39" s="336"/>
    </row>
    <row r="40" spans="1:8" s="111" customFormat="1" ht="15">
      <c r="A40" s="167">
        <v>313</v>
      </c>
      <c r="B40" s="168" t="s">
        <v>10</v>
      </c>
      <c r="C40" s="169">
        <f>SUM(C41:C42)</f>
        <v>1748806.62</v>
      </c>
      <c r="D40" s="169">
        <f>SUM(D41:D42)</f>
        <v>1736727</v>
      </c>
      <c r="E40" s="169">
        <f>SUM(E41:E42)</f>
        <v>1736727</v>
      </c>
      <c r="F40" s="169">
        <f>SUM(F41:F42)</f>
        <v>1830416.5</v>
      </c>
      <c r="G40" s="162">
        <f t="shared" si="2"/>
        <v>104.66660401823044</v>
      </c>
      <c r="H40" s="183">
        <f t="shared" si="3"/>
        <v>105.39460145434487</v>
      </c>
    </row>
    <row r="41" spans="1:8" s="109" customFormat="1" ht="15">
      <c r="A41" s="114">
        <v>3132</v>
      </c>
      <c r="B41" s="118" t="s">
        <v>84</v>
      </c>
      <c r="C41" s="110">
        <f>+'Prihodi i rashodi PR,EK i IZ'!C197+'Prihodi i rashodi PR,EK i IZ'!C287+'Prihodi i rashodi PR,EK i IZ'!C451</f>
        <v>1734353.58</v>
      </c>
      <c r="D41" s="110">
        <f>+'Prihodi i rashodi PR,EK i IZ'!D197+'Prihodi i rashodi PR,EK i IZ'!D287+'Prihodi i rashodi PR,EK i IZ'!D451</f>
        <v>1736727</v>
      </c>
      <c r="E41" s="110">
        <f>+'Prihodi i rashodi PR,EK i IZ'!E197+'Prihodi i rashodi PR,EK i IZ'!E287+'Prihodi i rashodi PR,EK i IZ'!E451</f>
        <v>1736727</v>
      </c>
      <c r="F41" s="110">
        <f>+'Prihodi i rashodi PR,EK i IZ'!F197+'Prihodi i rashodi PR,EK i IZ'!F287+'Prihodi i rashodi PR,EK i IZ'!F451</f>
        <v>1830416.5</v>
      </c>
      <c r="G41" s="61">
        <f t="shared" si="2"/>
        <v>105.53883136101925</v>
      </c>
      <c r="H41" s="64">
        <f t="shared" si="3"/>
        <v>105.39460145434487</v>
      </c>
    </row>
    <row r="42" spans="1:8" s="109" customFormat="1" ht="30">
      <c r="A42" s="114">
        <v>3133</v>
      </c>
      <c r="B42" s="118" t="s">
        <v>85</v>
      </c>
      <c r="C42" s="110">
        <f>+'Prihodi i rashodi PR,EK i IZ'!C288+'Prihodi i rashodi PR,EK i IZ'!C452</f>
        <v>14453.039999999999</v>
      </c>
      <c r="D42" s="110">
        <f>+'Prihodi i rashodi PR,EK i IZ'!D288+'Prihodi i rashodi PR,EK i IZ'!D452</f>
        <v>0</v>
      </c>
      <c r="E42" s="110">
        <f>+'Prihodi i rashodi PR,EK i IZ'!E288+'Prihodi i rashodi PR,EK i IZ'!E452</f>
        <v>0</v>
      </c>
      <c r="F42" s="110">
        <f>+'Prihodi i rashodi PR,EK i IZ'!F288+'Prihodi i rashodi PR,EK i IZ'!F452</f>
        <v>0</v>
      </c>
      <c r="G42" s="61">
        <f t="shared" si="2"/>
        <v>0</v>
      </c>
      <c r="H42" s="64" t="e">
        <f t="shared" si="3"/>
        <v>#DIV/0!</v>
      </c>
    </row>
    <row r="43" spans="1:8" s="111" customFormat="1" ht="15">
      <c r="A43" s="174">
        <v>32</v>
      </c>
      <c r="B43" s="175" t="s">
        <v>11</v>
      </c>
      <c r="C43" s="176">
        <f>SUM(C44,C49,C56,C66,C68)</f>
        <v>1306353.56</v>
      </c>
      <c r="D43" s="176">
        <f>SUM(D44,D49,D56,D66,D68)</f>
        <v>1231445.47</v>
      </c>
      <c r="E43" s="176">
        <f>SUM(E44,E49,E56,E66,E68)</f>
        <v>1255605.63</v>
      </c>
      <c r="F43" s="176">
        <f>SUM(F44,F49,F56,F66,F68)</f>
        <v>1148023.58</v>
      </c>
      <c r="G43" s="158">
        <f t="shared" si="2"/>
        <v>87.88000547110693</v>
      </c>
      <c r="H43" s="182">
        <f t="shared" si="3"/>
        <v>91.43185985873608</v>
      </c>
    </row>
    <row r="44" spans="1:8" s="111" customFormat="1" ht="15">
      <c r="A44" s="167">
        <v>321</v>
      </c>
      <c r="B44" s="168" t="s">
        <v>12</v>
      </c>
      <c r="C44" s="169">
        <f>SUM(C45:C48)</f>
        <v>386413.92999999993</v>
      </c>
      <c r="D44" s="169">
        <f>SUM(D45,D46,D47,D48)</f>
        <v>223318.24</v>
      </c>
      <c r="E44" s="169">
        <f>SUM(E45,E46,E47,E48)</f>
        <v>227627.15</v>
      </c>
      <c r="F44" s="169">
        <f>SUM(F45,F46,F47,F48)</f>
        <v>220821.91</v>
      </c>
      <c r="G44" s="162">
        <f t="shared" si="2"/>
        <v>57.14646726115697</v>
      </c>
      <c r="H44" s="183">
        <f t="shared" si="3"/>
        <v>97.01035662925095</v>
      </c>
    </row>
    <row r="45" spans="1:8" s="109" customFormat="1" ht="15">
      <c r="A45" s="114" t="s">
        <v>86</v>
      </c>
      <c r="B45" s="118" t="s">
        <v>87</v>
      </c>
      <c r="C45" s="110">
        <f>+'Prihodi i rashodi PR,EK i IZ'!C155+'Prihodi i rashodi PR,EK i IZ'!C200+'Prihodi i rashodi PR,EK i IZ'!C222+'Prihodi i rashodi PR,EK i IZ'!C231+'Prihodi i rashodi PR,EK i IZ'!C291+'Prihodi i rashodi PR,EK i IZ'!C329+'Prihodi i rashodi PR,EK i IZ'!C343</f>
        <v>91303.88999999998</v>
      </c>
      <c r="D45" s="110">
        <f>+'Prihodi i rashodi PR,EK i IZ'!D155+'Prihodi i rashodi PR,EK i IZ'!D200+'Prihodi i rashodi PR,EK i IZ'!D222+'Prihodi i rashodi PR,EK i IZ'!D231+'Prihodi i rashodi PR,EK i IZ'!D291+'Prihodi i rashodi PR,EK i IZ'!D329+'Prihodi i rashodi PR,EK i IZ'!D343</f>
        <v>16318.24</v>
      </c>
      <c r="E45" s="110">
        <f>+'Prihodi i rashodi PR,EK i IZ'!E155+'Prihodi i rashodi PR,EK i IZ'!E200+'Prihodi i rashodi PR,EK i IZ'!E222+'Prihodi i rashodi PR,EK i IZ'!E231+'Prihodi i rashodi PR,EK i IZ'!E291+'Prihodi i rashodi PR,EK i IZ'!E329+'Prihodi i rashodi PR,EK i IZ'!E343</f>
        <v>13648.840000000002</v>
      </c>
      <c r="F45" s="110">
        <f>+'Prihodi i rashodi PR,EK i IZ'!F155+'Prihodi i rashodi PR,EK i IZ'!F200+'Prihodi i rashodi PR,EK i IZ'!F222+'Prihodi i rashodi PR,EK i IZ'!F231+'Prihodi i rashodi PR,EK i IZ'!F291+'Prihodi i rashodi PR,EK i IZ'!F329+'Prihodi i rashodi PR,EK i IZ'!F343</f>
        <v>8553.6</v>
      </c>
      <c r="G45" s="61">
        <f t="shared" si="2"/>
        <v>9.368275546638815</v>
      </c>
      <c r="H45" s="64">
        <f t="shared" si="3"/>
        <v>62.669061986220065</v>
      </c>
    </row>
    <row r="46" spans="1:8" s="109" customFormat="1" ht="30">
      <c r="A46" s="114" t="s">
        <v>88</v>
      </c>
      <c r="B46" s="118" t="s">
        <v>13</v>
      </c>
      <c r="C46" s="110">
        <f>+'Prihodi i rashodi PR,EK i IZ'!C156+'Prihodi i rashodi PR,EK i IZ'!C455</f>
        <v>288567.04</v>
      </c>
      <c r="D46" s="110">
        <f>+'Prihodi i rashodi PR,EK i IZ'!D156+'Prihodi i rashodi PR,EK i IZ'!D455</f>
        <v>200000</v>
      </c>
      <c r="E46" s="110">
        <f>+'Prihodi i rashodi PR,EK i IZ'!E156+'Prihodi i rashodi PR,EK i IZ'!E455</f>
        <v>209427.31</v>
      </c>
      <c r="F46" s="110">
        <f>+'Prihodi i rashodi PR,EK i IZ'!F156+'Prihodi i rashodi PR,EK i IZ'!F455</f>
        <v>209427.31</v>
      </c>
      <c r="G46" s="61">
        <f t="shared" si="2"/>
        <v>72.57492401072555</v>
      </c>
      <c r="H46" s="64">
        <f t="shared" si="3"/>
        <v>100</v>
      </c>
    </row>
    <row r="47" spans="1:8" s="109" customFormat="1" ht="15">
      <c r="A47" s="114">
        <v>3213</v>
      </c>
      <c r="B47" s="118" t="s">
        <v>129</v>
      </c>
      <c r="C47" s="110">
        <f>+'Prihodi i rashodi PR,EK i IZ'!C157+'Prihodi i rashodi PR,EK i IZ'!C201+'Prihodi i rashodi PR,EK i IZ'!C232</f>
        <v>6543</v>
      </c>
      <c r="D47" s="110">
        <f>+'Prihodi i rashodi PR,EK i IZ'!D157+'Prihodi i rashodi PR,EK i IZ'!D201+'Prihodi i rashodi PR,EK i IZ'!D232</f>
        <v>7000</v>
      </c>
      <c r="E47" s="110">
        <f>+'Prihodi i rashodi PR,EK i IZ'!E157+'Prihodi i rashodi PR,EK i IZ'!E201+'Prihodi i rashodi PR,EK i IZ'!E232</f>
        <v>4551</v>
      </c>
      <c r="F47" s="110">
        <f>+'Prihodi i rashodi PR,EK i IZ'!F157+'Prihodi i rashodi PR,EK i IZ'!F201+'Prihodi i rashodi PR,EK i IZ'!F232</f>
        <v>2841</v>
      </c>
      <c r="G47" s="61">
        <f t="shared" si="2"/>
        <v>43.420449335167355</v>
      </c>
      <c r="H47" s="64">
        <f t="shared" si="3"/>
        <v>62.42584047462096</v>
      </c>
    </row>
    <row r="48" spans="1:8" s="109" customFormat="1" ht="15">
      <c r="A48" s="114">
        <v>3214</v>
      </c>
      <c r="B48" s="118" t="s">
        <v>130</v>
      </c>
      <c r="C48" s="110">
        <f>+'Prihodi i rashodi PR,EK i IZ'!C158</f>
        <v>0</v>
      </c>
      <c r="D48" s="110">
        <f>+'Prihodi i rashodi PR,EK i IZ'!D158</f>
        <v>0</v>
      </c>
      <c r="E48" s="110">
        <f>+'Prihodi i rashodi PR,EK i IZ'!E158</f>
        <v>0</v>
      </c>
      <c r="F48" s="110">
        <f>+'Prihodi i rashodi PR,EK i IZ'!F158</f>
        <v>0</v>
      </c>
      <c r="G48" s="61" t="e">
        <f t="shared" si="2"/>
        <v>#DIV/0!</v>
      </c>
      <c r="H48" s="64" t="e">
        <f t="shared" si="3"/>
        <v>#DIV/0!</v>
      </c>
    </row>
    <row r="49" spans="1:8" s="111" customFormat="1" ht="15">
      <c r="A49" s="167">
        <v>322</v>
      </c>
      <c r="B49" s="168" t="s">
        <v>14</v>
      </c>
      <c r="C49" s="169">
        <f>SUM(C50:C55)</f>
        <v>517757.23</v>
      </c>
      <c r="D49" s="169">
        <f>SUM(D50:D55)</f>
        <v>581077.27</v>
      </c>
      <c r="E49" s="169">
        <f>SUM(E50:E55)</f>
        <v>575353.26</v>
      </c>
      <c r="F49" s="169">
        <f>SUM(F50:F55)</f>
        <v>533962.0800000001</v>
      </c>
      <c r="G49" s="162">
        <f t="shared" si="2"/>
        <v>103.12981626543392</v>
      </c>
      <c r="H49" s="183">
        <f t="shared" si="3"/>
        <v>92.80595368487181</v>
      </c>
    </row>
    <row r="50" spans="1:8" s="109" customFormat="1" ht="15">
      <c r="A50" s="114" t="s">
        <v>89</v>
      </c>
      <c r="B50" s="118" t="s">
        <v>15</v>
      </c>
      <c r="C50" s="110">
        <f>+'Prihodi i rashodi PR,EK i IZ'!C138+'Prihodi i rashodi PR,EK i IZ'!C160+'Prihodi i rashodi PR,EK i IZ'!C203+'Prihodi i rashodi PR,EK i IZ'!C234+'Prihodi i rashodi PR,EK i IZ'!C483</f>
        <v>95019.72</v>
      </c>
      <c r="D50" s="110">
        <f>+'Prihodi i rashodi PR,EK i IZ'!D138+'Prihodi i rashodi PR,EK i IZ'!D160+'Prihodi i rashodi PR,EK i IZ'!D203+'Prihodi i rashodi PR,EK i IZ'!D234+'Prihodi i rashodi PR,EK i IZ'!D483</f>
        <v>128065</v>
      </c>
      <c r="E50" s="110">
        <f>+'Prihodi i rashodi PR,EK i IZ'!E138+'Prihodi i rashodi PR,EK i IZ'!E160+'Prihodi i rashodi PR,EK i IZ'!E203+'Prihodi i rashodi PR,EK i IZ'!E234+'Prihodi i rashodi PR,EK i IZ'!E483</f>
        <v>122283.82</v>
      </c>
      <c r="F50" s="110">
        <f>+'Prihodi i rashodi PR,EK i IZ'!F138+'Prihodi i rashodi PR,EK i IZ'!F160+'Prihodi i rashodi PR,EK i IZ'!F203+'Prihodi i rashodi PR,EK i IZ'!F234+'Prihodi i rashodi PR,EK i IZ'!F483</f>
        <v>111068.07</v>
      </c>
      <c r="G50" s="61">
        <f t="shared" si="2"/>
        <v>116.88949409659386</v>
      </c>
      <c r="H50" s="64">
        <f t="shared" si="3"/>
        <v>90.82809974369462</v>
      </c>
    </row>
    <row r="51" spans="1:8" s="109" customFormat="1" ht="15">
      <c r="A51" s="114">
        <v>3222</v>
      </c>
      <c r="B51" s="118" t="s">
        <v>131</v>
      </c>
      <c r="C51" s="110">
        <f>+'Prihodi i rashodi PR,EK i IZ'!C139+'Prihodi i rashodi PR,EK i IZ'!C161+'Prihodi i rashodi PR,EK i IZ'!C204+'Prihodi i rashodi PR,EK i IZ'!C235+'Prihodi i rashodi PR,EK i IZ'!C293+'Prihodi i rashodi PR,EK i IZ'!C316</f>
        <v>117679.98999999999</v>
      </c>
      <c r="D51" s="110">
        <f>+'Prihodi i rashodi PR,EK i IZ'!D139+'Prihodi i rashodi PR,EK i IZ'!D161+'Prihodi i rashodi PR,EK i IZ'!D204+'Prihodi i rashodi PR,EK i IZ'!D235+'Prihodi i rashodi PR,EK i IZ'!D293+'Prihodi i rashodi PR,EK i IZ'!D316</f>
        <v>122248.35</v>
      </c>
      <c r="E51" s="110">
        <f>+'Prihodi i rashodi PR,EK i IZ'!E139+'Prihodi i rashodi PR,EK i IZ'!E161+'Prihodi i rashodi PR,EK i IZ'!E204+'Prihodi i rashodi PR,EK i IZ'!E235+'Prihodi i rashodi PR,EK i IZ'!E293+'Prihodi i rashodi PR,EK i IZ'!E316</f>
        <v>108924.59000000001</v>
      </c>
      <c r="F51" s="110">
        <f>+'Prihodi i rashodi PR,EK i IZ'!F139+'Prihodi i rashodi PR,EK i IZ'!F161+'Prihodi i rashodi PR,EK i IZ'!F204+'Prihodi i rashodi PR,EK i IZ'!F235+'Prihodi i rashodi PR,EK i IZ'!F293+'Prihodi i rashodi PR,EK i IZ'!F316</f>
        <v>85648.53000000001</v>
      </c>
      <c r="G51" s="61">
        <f t="shared" si="2"/>
        <v>72.7808780405233</v>
      </c>
      <c r="H51" s="64">
        <f t="shared" si="3"/>
        <v>78.63103271722207</v>
      </c>
    </row>
    <row r="52" spans="1:8" s="109" customFormat="1" ht="15">
      <c r="A52" s="114" t="s">
        <v>90</v>
      </c>
      <c r="B52" s="118" t="s">
        <v>91</v>
      </c>
      <c r="C52" s="110">
        <f>+'Prihodi i rashodi PR,EK i IZ'!C162+'Prihodi i rashodi PR,EK i IZ'!C205+'Prihodi i rashodi PR,EK i IZ'!C236</f>
        <v>262503.77999999997</v>
      </c>
      <c r="D52" s="110">
        <f>+'Prihodi i rashodi PR,EK i IZ'!D162+'Prihodi i rashodi PR,EK i IZ'!D205+'Prihodi i rashodi PR,EK i IZ'!D236</f>
        <v>255350</v>
      </c>
      <c r="E52" s="110">
        <f>+'Prihodi i rashodi PR,EK i IZ'!E162+'Prihodi i rashodi PR,EK i IZ'!E205+'Prihodi i rashodi PR,EK i IZ'!E236</f>
        <v>269051.36</v>
      </c>
      <c r="F52" s="110">
        <f>+'Prihodi i rashodi PR,EK i IZ'!F162+'Prihodi i rashodi PR,EK i IZ'!F205+'Prihodi i rashodi PR,EK i IZ'!F236</f>
        <v>270949.33999999997</v>
      </c>
      <c r="G52" s="61">
        <f t="shared" si="2"/>
        <v>103.21730986121418</v>
      </c>
      <c r="H52" s="64">
        <f t="shared" si="3"/>
        <v>100.70543408515013</v>
      </c>
    </row>
    <row r="53" spans="1:8" s="109" customFormat="1" ht="30">
      <c r="A53" s="114" t="s">
        <v>92</v>
      </c>
      <c r="B53" s="118" t="s">
        <v>93</v>
      </c>
      <c r="C53" s="110">
        <f>+'Prihodi i rashodi PR,EK i IZ'!C163+'Prihodi i rashodi PR,EK i IZ'!C206+'Prihodi i rashodi PR,EK i IZ'!C237+'Prihodi i rashodi PR,EK i IZ'!C272</f>
        <v>17700.68</v>
      </c>
      <c r="D53" s="110">
        <f>+'Prihodi i rashodi PR,EK i IZ'!D163+'Prihodi i rashodi PR,EK i IZ'!D206+'Prihodi i rashodi PR,EK i IZ'!D237+'Prihodi i rashodi PR,EK i IZ'!D272</f>
        <v>26500</v>
      </c>
      <c r="E53" s="110">
        <f>+'Prihodi i rashodi PR,EK i IZ'!E163+'Prihodi i rashodi PR,EK i IZ'!E206+'Prihodi i rashodi PR,EK i IZ'!E237+'Prihodi i rashodi PR,EK i IZ'!E272</f>
        <v>30452.29</v>
      </c>
      <c r="F53" s="110">
        <f>+'Prihodi i rashodi PR,EK i IZ'!F163+'Prihodi i rashodi PR,EK i IZ'!F206+'Prihodi i rashodi PR,EK i IZ'!F237+'Prihodi i rashodi PR,EK i IZ'!F272</f>
        <v>27347.21</v>
      </c>
      <c r="G53" s="61">
        <f t="shared" si="2"/>
        <v>154.49807578013952</v>
      </c>
      <c r="H53" s="64">
        <f t="shared" si="3"/>
        <v>89.80345977264763</v>
      </c>
    </row>
    <row r="54" spans="1:8" s="109" customFormat="1" ht="15">
      <c r="A54" s="114">
        <v>3225</v>
      </c>
      <c r="B54" s="118" t="s">
        <v>132</v>
      </c>
      <c r="C54" s="110">
        <f>+'Prihodi i rashodi PR,EK i IZ'!C164+'Prihodi i rashodi PR,EK i IZ'!C238+'Prihodi i rashodi PR,EK i IZ'!C273+'Prihodi i rashodi PR,EK i IZ'!C317+'Prihodi i rashodi PR,EK i IZ'!C484</f>
        <v>20792.120000000003</v>
      </c>
      <c r="D54" s="110">
        <f>+'Prihodi i rashodi PR,EK i IZ'!D164+'Prihodi i rashodi PR,EK i IZ'!D238+'Prihodi i rashodi PR,EK i IZ'!D273+'Prihodi i rashodi PR,EK i IZ'!D317+'Prihodi i rashodi PR,EK i IZ'!D484</f>
        <v>36913.92</v>
      </c>
      <c r="E54" s="110">
        <f>+'Prihodi i rashodi PR,EK i IZ'!E164+'Prihodi i rashodi PR,EK i IZ'!E238+'Prihodi i rashodi PR,EK i IZ'!E273+'Prihodi i rashodi PR,EK i IZ'!E317+'Prihodi i rashodi PR,EK i IZ'!E484</f>
        <v>37313.95</v>
      </c>
      <c r="F54" s="110">
        <f>+'Prihodi i rashodi PR,EK i IZ'!F164+'Prihodi i rashodi PR,EK i IZ'!F238+'Prihodi i rashodi PR,EK i IZ'!F273+'Prihodi i rashodi PR,EK i IZ'!F317+'Prihodi i rashodi PR,EK i IZ'!F484</f>
        <v>31621.68</v>
      </c>
      <c r="G54" s="61">
        <f t="shared" si="2"/>
        <v>152.0849244810053</v>
      </c>
      <c r="H54" s="64">
        <f t="shared" si="3"/>
        <v>84.74492783530022</v>
      </c>
    </row>
    <row r="55" spans="1:8" s="109" customFormat="1" ht="15">
      <c r="A55" s="114">
        <v>3227</v>
      </c>
      <c r="B55" s="118" t="s">
        <v>133</v>
      </c>
      <c r="C55" s="110">
        <f>+'Prihodi i rashodi PR,EK i IZ'!C165</f>
        <v>4060.94</v>
      </c>
      <c r="D55" s="110">
        <f>+'Prihodi i rashodi PR,EK i IZ'!D165</f>
        <v>12000</v>
      </c>
      <c r="E55" s="110">
        <f>+'Prihodi i rashodi PR,EK i IZ'!E165</f>
        <v>7327.25</v>
      </c>
      <c r="F55" s="110">
        <f>+'Prihodi i rashodi PR,EK i IZ'!F165</f>
        <v>7327.25</v>
      </c>
      <c r="G55" s="61">
        <f t="shared" si="2"/>
        <v>180.43236295044989</v>
      </c>
      <c r="H55" s="64">
        <f t="shared" si="3"/>
        <v>100</v>
      </c>
    </row>
    <row r="56" spans="1:8" s="111" customFormat="1" ht="15">
      <c r="A56" s="167">
        <v>323</v>
      </c>
      <c r="B56" s="168" t="s">
        <v>16</v>
      </c>
      <c r="C56" s="169">
        <f>SUM(C57:C65)</f>
        <v>344730.51999999996</v>
      </c>
      <c r="D56" s="169">
        <f>SUM(D57:D65)</f>
        <v>371915.12000000005</v>
      </c>
      <c r="E56" s="169">
        <f>SUM(E57:E65)</f>
        <v>397033.62</v>
      </c>
      <c r="F56" s="169">
        <f>SUM(F57:F65)</f>
        <v>345402.45999999996</v>
      </c>
      <c r="G56" s="162">
        <f t="shared" si="2"/>
        <v>100.19491746770781</v>
      </c>
      <c r="H56" s="183">
        <f t="shared" si="3"/>
        <v>86.9957712900988</v>
      </c>
    </row>
    <row r="57" spans="1:8" s="109" customFormat="1" ht="15">
      <c r="A57" s="114" t="s">
        <v>95</v>
      </c>
      <c r="B57" s="118" t="s">
        <v>96</v>
      </c>
      <c r="C57" s="110">
        <f>+'Prihodi i rashodi PR,EK i IZ'!C167</f>
        <v>26885.17</v>
      </c>
      <c r="D57" s="110">
        <f>+'Prihodi i rashodi PR,EK i IZ'!D167</f>
        <v>25000</v>
      </c>
      <c r="E57" s="110">
        <f>+'Prihodi i rashodi PR,EK i IZ'!E167</f>
        <v>23215.25</v>
      </c>
      <c r="F57" s="110">
        <f>+'Prihodi i rashodi PR,EK i IZ'!F167</f>
        <v>23215.25</v>
      </c>
      <c r="G57" s="61">
        <f t="shared" si="2"/>
        <v>86.34964926760739</v>
      </c>
      <c r="H57" s="64">
        <f t="shared" si="3"/>
        <v>100</v>
      </c>
    </row>
    <row r="58" spans="1:8" s="109" customFormat="1" ht="15">
      <c r="A58" s="114" t="s">
        <v>97</v>
      </c>
      <c r="B58" s="118" t="s">
        <v>98</v>
      </c>
      <c r="C58" s="110">
        <f>+'Prihodi i rashodi PR,EK i IZ'!C168+'Prihodi i rashodi PR,EK i IZ'!C240</f>
        <v>48836.8</v>
      </c>
      <c r="D58" s="110">
        <f>+'Prihodi i rashodi PR,EK i IZ'!D168+'Prihodi i rashodi PR,EK i IZ'!D240</f>
        <v>59500</v>
      </c>
      <c r="E58" s="110">
        <f>+'Prihodi i rashodi PR,EK i IZ'!E168+'Prihodi i rashodi PR,EK i IZ'!E240</f>
        <v>100978.41</v>
      </c>
      <c r="F58" s="110">
        <f>+'Prihodi i rashodi PR,EK i IZ'!F168+'Prihodi i rashodi PR,EK i IZ'!F240</f>
        <v>89470.28</v>
      </c>
      <c r="G58" s="61">
        <f t="shared" si="2"/>
        <v>183.20258493594991</v>
      </c>
      <c r="H58" s="64">
        <f t="shared" si="3"/>
        <v>88.60337571169916</v>
      </c>
    </row>
    <row r="59" spans="1:8" s="109" customFormat="1" ht="15">
      <c r="A59" s="114">
        <v>3233</v>
      </c>
      <c r="B59" s="118" t="s">
        <v>186</v>
      </c>
      <c r="C59" s="110">
        <f>+'Prihodi i rashodi PR,EK i IZ'!C208+'Prihodi i rashodi PR,EK i IZ'!C241</f>
        <v>3543.75</v>
      </c>
      <c r="D59" s="110">
        <f>+'Prihodi i rashodi PR,EK i IZ'!D208+'Prihodi i rashodi PR,EK i IZ'!D241</f>
        <v>0</v>
      </c>
      <c r="E59" s="110">
        <f>+'Prihodi i rashodi PR,EK i IZ'!E208+'Prihodi i rashodi PR,EK i IZ'!E241</f>
        <v>0</v>
      </c>
      <c r="F59" s="110">
        <f>+'Prihodi i rashodi PR,EK i IZ'!F208+'Prihodi i rashodi PR,EK i IZ'!F241</f>
        <v>350</v>
      </c>
      <c r="G59" s="61">
        <f>F59/C59*100</f>
        <v>9.876543209876543</v>
      </c>
      <c r="H59" s="64" t="e">
        <f>F59/E59*100</f>
        <v>#DIV/0!</v>
      </c>
    </row>
    <row r="60" spans="1:8" s="109" customFormat="1" ht="15">
      <c r="A60" s="114" t="s">
        <v>99</v>
      </c>
      <c r="B60" s="118" t="s">
        <v>100</v>
      </c>
      <c r="C60" s="110">
        <f>+'Prihodi i rashodi PR,EK i IZ'!C169</f>
        <v>146713.63</v>
      </c>
      <c r="D60" s="110">
        <f>+'Prihodi i rashodi PR,EK i IZ'!D169</f>
        <v>134200.78</v>
      </c>
      <c r="E60" s="110">
        <f>+'Prihodi i rashodi PR,EK i IZ'!E169</f>
        <v>134961.96</v>
      </c>
      <c r="F60" s="110">
        <f>+'Prihodi i rashodi PR,EK i IZ'!F169</f>
        <v>134961.96</v>
      </c>
      <c r="G60" s="61">
        <f t="shared" si="2"/>
        <v>91.99006254565441</v>
      </c>
      <c r="H60" s="64">
        <f t="shared" si="3"/>
        <v>100</v>
      </c>
    </row>
    <row r="61" spans="1:8" s="109" customFormat="1" ht="15">
      <c r="A61" s="114">
        <v>3235</v>
      </c>
      <c r="B61" s="118" t="s">
        <v>134</v>
      </c>
      <c r="C61" s="110">
        <f>+'Prihodi i rashodi PR,EK i IZ'!C170+'Prihodi i rashodi PR,EK i IZ'!C242</f>
        <v>14804.9</v>
      </c>
      <c r="D61" s="110">
        <f>+'Prihodi i rashodi PR,EK i IZ'!D170+'Prihodi i rashodi PR,EK i IZ'!D242</f>
        <v>15500</v>
      </c>
      <c r="E61" s="110">
        <f>+'Prihodi i rashodi PR,EK i IZ'!E170+'Prihodi i rashodi PR,EK i IZ'!E242</f>
        <v>15500</v>
      </c>
      <c r="F61" s="110">
        <f>+'Prihodi i rashodi PR,EK i IZ'!F170+'Prihodi i rashodi PR,EK i IZ'!F242</f>
        <v>9062.18</v>
      </c>
      <c r="G61" s="61">
        <f t="shared" si="2"/>
        <v>61.21068024775581</v>
      </c>
      <c r="H61" s="64">
        <f t="shared" si="3"/>
        <v>58.46567741935485</v>
      </c>
    </row>
    <row r="62" spans="1:8" s="109" customFormat="1" ht="15">
      <c r="A62" s="114">
        <v>3236</v>
      </c>
      <c r="B62" s="118" t="s">
        <v>135</v>
      </c>
      <c r="C62" s="110">
        <f>+'Prihodi i rashodi PR,EK i IZ'!C171</f>
        <v>13500</v>
      </c>
      <c r="D62" s="110">
        <f>+'Prihodi i rashodi PR,EK i IZ'!D171</f>
        <v>16000</v>
      </c>
      <c r="E62" s="110">
        <f>+'Prihodi i rashodi PR,EK i IZ'!E171</f>
        <v>3800</v>
      </c>
      <c r="F62" s="110">
        <f>+'Prihodi i rashodi PR,EK i IZ'!F171</f>
        <v>3800</v>
      </c>
      <c r="G62" s="61">
        <f t="shared" si="2"/>
        <v>28.14814814814815</v>
      </c>
      <c r="H62" s="64">
        <f t="shared" si="3"/>
        <v>100</v>
      </c>
    </row>
    <row r="63" spans="1:8" s="109" customFormat="1" ht="15">
      <c r="A63" s="114">
        <v>3237</v>
      </c>
      <c r="B63" s="118" t="s">
        <v>136</v>
      </c>
      <c r="C63" s="110">
        <f>+'Prihodi i rashodi PR,EK i IZ'!C172+'Prihodi i rashodi PR,EK i IZ'!C209+'Prihodi i rashodi PR,EK i IZ'!C243+'Prihodi i rashodi PR,EK i IZ'!C295</f>
        <v>65346.350000000006</v>
      </c>
      <c r="D63" s="110">
        <f>+'Prihodi i rashodi PR,EK i IZ'!D172+'Prihodi i rashodi PR,EK i IZ'!D209+'Prihodi i rashodi PR,EK i IZ'!D243+'Prihodi i rashodi PR,EK i IZ'!D295</f>
        <v>76800</v>
      </c>
      <c r="E63" s="110">
        <f>+'Prihodi i rashodi PR,EK i IZ'!E172+'Prihodi i rashodi PR,EK i IZ'!E209+'Prihodi i rashodi PR,EK i IZ'!E243+'Prihodi i rashodi PR,EK i IZ'!E295</f>
        <v>75300</v>
      </c>
      <c r="F63" s="110">
        <f>+'Prihodi i rashodi PR,EK i IZ'!F172+'Prihodi i rashodi PR,EK i IZ'!F209+'Prihodi i rashodi PR,EK i IZ'!F243+'Prihodi i rashodi PR,EK i IZ'!F295</f>
        <v>56579.79</v>
      </c>
      <c r="G63" s="61">
        <f t="shared" si="2"/>
        <v>86.58446875762762</v>
      </c>
      <c r="H63" s="64">
        <f t="shared" si="3"/>
        <v>75.13916334661354</v>
      </c>
    </row>
    <row r="64" spans="1:8" s="109" customFormat="1" ht="15">
      <c r="A64" s="114" t="s">
        <v>101</v>
      </c>
      <c r="B64" s="118" t="s">
        <v>102</v>
      </c>
      <c r="C64" s="110">
        <f>+'Prihodi i rashodi PR,EK i IZ'!C173+'Prihodi i rashodi PR,EK i IZ'!C244</f>
        <v>21398.1</v>
      </c>
      <c r="D64" s="110">
        <f>+'Prihodi i rashodi PR,EK i IZ'!D173+'Prihodi i rashodi PR,EK i IZ'!D244</f>
        <v>25414.34</v>
      </c>
      <c r="E64" s="110">
        <f>+'Prihodi i rashodi PR,EK i IZ'!E173+'Prihodi i rashodi PR,EK i IZ'!E244</f>
        <v>27180.61</v>
      </c>
      <c r="F64" s="110">
        <f>+'Prihodi i rashodi PR,EK i IZ'!F173+'Prihodi i rashodi PR,EK i IZ'!F244</f>
        <v>24205.61</v>
      </c>
      <c r="G64" s="61">
        <f t="shared" si="2"/>
        <v>113.12037050018459</v>
      </c>
      <c r="H64" s="64">
        <f t="shared" si="3"/>
        <v>89.05469744792336</v>
      </c>
    </row>
    <row r="65" spans="1:8" s="109" customFormat="1" ht="15">
      <c r="A65" s="114" t="s">
        <v>103</v>
      </c>
      <c r="B65" s="118" t="s">
        <v>17</v>
      </c>
      <c r="C65" s="110">
        <f>+'Prihodi i rashodi PR,EK i IZ'!C174+'Prihodi i rashodi PR,EK i IZ'!C245</f>
        <v>3701.8199999999997</v>
      </c>
      <c r="D65" s="110">
        <f>+'Prihodi i rashodi PR,EK i IZ'!D174+'Prihodi i rashodi PR,EK i IZ'!D245</f>
        <v>19500</v>
      </c>
      <c r="E65" s="110">
        <f>+'Prihodi i rashodi PR,EK i IZ'!E174+'Prihodi i rashodi PR,EK i IZ'!E245</f>
        <v>16097.39</v>
      </c>
      <c r="F65" s="110">
        <f>+'Prihodi i rashodi PR,EK i IZ'!F174+'Prihodi i rashodi PR,EK i IZ'!F245</f>
        <v>3757.39</v>
      </c>
      <c r="G65" s="61">
        <f t="shared" si="2"/>
        <v>101.50115348666333</v>
      </c>
      <c r="H65" s="64">
        <f t="shared" si="3"/>
        <v>23.34161003740358</v>
      </c>
    </row>
    <row r="66" spans="1:8" s="111" customFormat="1" ht="30">
      <c r="A66" s="167">
        <v>324</v>
      </c>
      <c r="B66" s="168" t="s">
        <v>23</v>
      </c>
      <c r="C66" s="169">
        <f>SUM(C67)</f>
        <v>2380.6</v>
      </c>
      <c r="D66" s="169">
        <f>SUM(D67)</f>
        <v>1934.66</v>
      </c>
      <c r="E66" s="169">
        <f>SUM(E67)</f>
        <v>1934.66</v>
      </c>
      <c r="F66" s="169">
        <f>SUM(F67)</f>
        <v>1060.2</v>
      </c>
      <c r="G66" s="162">
        <f t="shared" si="2"/>
        <v>44.53499117869445</v>
      </c>
      <c r="H66" s="183">
        <f t="shared" si="3"/>
        <v>54.80032667238688</v>
      </c>
    </row>
    <row r="67" spans="1:8" s="109" customFormat="1" ht="30">
      <c r="A67" s="114">
        <v>3241</v>
      </c>
      <c r="B67" s="118" t="s">
        <v>23</v>
      </c>
      <c r="C67" s="110">
        <f>+'Prihodi i rashodi PR,EK i IZ'!C211+'Prihodi i rashodi PR,EK i IZ'!C247+'Prihodi i rashodi PR,EK i IZ'!C297</f>
        <v>2380.6</v>
      </c>
      <c r="D67" s="110">
        <f>+'Prihodi i rashodi PR,EK i IZ'!D211+'Prihodi i rashodi PR,EK i IZ'!D247+'Prihodi i rashodi PR,EK i IZ'!D297</f>
        <v>1934.66</v>
      </c>
      <c r="E67" s="110">
        <f>+'Prihodi i rashodi PR,EK i IZ'!E211+'Prihodi i rashodi PR,EK i IZ'!E247+'Prihodi i rashodi PR,EK i IZ'!E297</f>
        <v>1934.66</v>
      </c>
      <c r="F67" s="110">
        <f>+'Prihodi i rashodi PR,EK i IZ'!F211+'Prihodi i rashodi PR,EK i IZ'!F247+'Prihodi i rashodi PR,EK i IZ'!F297</f>
        <v>1060.2</v>
      </c>
      <c r="G67" s="32">
        <f t="shared" si="2"/>
        <v>44.53499117869445</v>
      </c>
      <c r="H67" s="342">
        <f t="shared" si="3"/>
        <v>54.80032667238688</v>
      </c>
    </row>
    <row r="68" spans="1:8" s="111" customFormat="1" ht="15">
      <c r="A68" s="167">
        <v>329</v>
      </c>
      <c r="B68" s="168" t="s">
        <v>18</v>
      </c>
      <c r="C68" s="169">
        <f>SUM(C69:C73)</f>
        <v>55071.28</v>
      </c>
      <c r="D68" s="169">
        <f>SUM(D69:D73)</f>
        <v>53200.18</v>
      </c>
      <c r="E68" s="169">
        <f>SUM(E69:E73)</f>
        <v>53656.94</v>
      </c>
      <c r="F68" s="169">
        <f>SUM(F69:F73)</f>
        <v>46776.93</v>
      </c>
      <c r="G68" s="162">
        <f t="shared" si="2"/>
        <v>84.93888284419756</v>
      </c>
      <c r="H68" s="183">
        <f t="shared" si="3"/>
        <v>87.17778166253983</v>
      </c>
    </row>
    <row r="69" spans="1:8" s="109" customFormat="1" ht="30">
      <c r="A69" s="114" t="s">
        <v>104</v>
      </c>
      <c r="B69" s="118" t="s">
        <v>105</v>
      </c>
      <c r="C69" s="110">
        <f>+'Prihodi i rashodi PR,EK i IZ'!C141+'Prihodi i rashodi PR,EK i IZ'!C176+'Prihodi i rashodi PR,EK i IZ'!C249</f>
        <v>3554.47</v>
      </c>
      <c r="D69" s="110">
        <f>+'Prihodi i rashodi PR,EK i IZ'!D141+'Prihodi i rashodi PR,EK i IZ'!D176+'Prihodi i rashodi PR,EK i IZ'!D249</f>
        <v>3192.68</v>
      </c>
      <c r="E69" s="110">
        <f>+'Prihodi i rashodi PR,EK i IZ'!E141+'Prihodi i rashodi PR,EK i IZ'!E176+'Prihodi i rashodi PR,EK i IZ'!E249</f>
        <v>3192.68</v>
      </c>
      <c r="F69" s="110">
        <f>+'Prihodi i rashodi PR,EK i IZ'!F141+'Prihodi i rashodi PR,EK i IZ'!F176+'Prihodi i rashodi PR,EK i IZ'!F249</f>
        <v>3192.54</v>
      </c>
      <c r="G69" s="61">
        <f t="shared" si="2"/>
        <v>89.81760993903451</v>
      </c>
      <c r="H69" s="64">
        <f t="shared" si="3"/>
        <v>99.99561496924214</v>
      </c>
    </row>
    <row r="70" spans="1:8" s="109" customFormat="1" ht="15">
      <c r="A70" s="114">
        <v>3292</v>
      </c>
      <c r="B70" s="118" t="s">
        <v>185</v>
      </c>
      <c r="C70" s="110">
        <f>+'Prihodi i rashodi PR,EK i IZ'!C177</f>
        <v>0</v>
      </c>
      <c r="D70" s="110">
        <f>+'Prihodi i rashodi PR,EK i IZ'!D177</f>
        <v>4120</v>
      </c>
      <c r="E70" s="110">
        <f>+'Prihodi i rashodi PR,EK i IZ'!E177</f>
        <v>4276.76</v>
      </c>
      <c r="F70" s="110">
        <f>+'Prihodi i rashodi PR,EK i IZ'!F177</f>
        <v>0</v>
      </c>
      <c r="G70" s="61" t="e">
        <f t="shared" si="2"/>
        <v>#DIV/0!</v>
      </c>
      <c r="H70" s="64">
        <f t="shared" si="3"/>
        <v>0</v>
      </c>
    </row>
    <row r="71" spans="1:8" s="109" customFormat="1" ht="15">
      <c r="A71" s="114">
        <v>3294</v>
      </c>
      <c r="B71" s="118" t="s">
        <v>137</v>
      </c>
      <c r="C71" s="110">
        <f>+'Prihodi i rashodi PR,EK i IZ'!C178</f>
        <v>250</v>
      </c>
      <c r="D71" s="110">
        <f>+'Prihodi i rashodi PR,EK i IZ'!D178</f>
        <v>250</v>
      </c>
      <c r="E71" s="110">
        <f>+'Prihodi i rashodi PR,EK i IZ'!E178</f>
        <v>250</v>
      </c>
      <c r="F71" s="110">
        <f>+'Prihodi i rashodi PR,EK i IZ'!F178</f>
        <v>250</v>
      </c>
      <c r="G71" s="61">
        <f t="shared" si="2"/>
        <v>100</v>
      </c>
      <c r="H71" s="64">
        <f t="shared" si="3"/>
        <v>100</v>
      </c>
    </row>
    <row r="72" spans="1:8" s="109" customFormat="1" ht="15">
      <c r="A72" s="114">
        <v>3295</v>
      </c>
      <c r="B72" s="118" t="s">
        <v>106</v>
      </c>
      <c r="C72" s="110">
        <f>+'Prihodi i rashodi PR,EK i IZ'!C179+'Prihodi i rashodi PR,EK i IZ'!C213+'Prihodi i rashodi PR,EK i IZ'!C250+'Prihodi i rashodi PR,EK i IZ'!C299</f>
        <v>44383.659999999996</v>
      </c>
      <c r="D72" s="110">
        <f>+'Prihodi i rashodi PR,EK i IZ'!D179+'Prihodi i rashodi PR,EK i IZ'!D213+'Prihodi i rashodi PR,EK i IZ'!D250+'Prihodi i rashodi PR,EK i IZ'!D299</f>
        <v>32637.5</v>
      </c>
      <c r="E72" s="110">
        <f>+'Prihodi i rashodi PR,EK i IZ'!E179+'Prihodi i rashodi PR,EK i IZ'!E213+'Prihodi i rashodi PR,EK i IZ'!E250+'Prihodi i rashodi PR,EK i IZ'!E299</f>
        <v>32637.5</v>
      </c>
      <c r="F72" s="110">
        <f>+'Prihodi i rashodi PR,EK i IZ'!F179+'Prihodi i rashodi PR,EK i IZ'!F213+'Prihodi i rashodi PR,EK i IZ'!F250+'Prihodi i rashodi PR,EK i IZ'!F299</f>
        <v>33875</v>
      </c>
      <c r="G72" s="61">
        <f t="shared" si="2"/>
        <v>76.32313333330329</v>
      </c>
      <c r="H72" s="64">
        <f t="shared" si="3"/>
        <v>103.7916507085408</v>
      </c>
    </row>
    <row r="73" spans="1:8" s="109" customFormat="1" ht="15">
      <c r="A73" s="114" t="s">
        <v>107</v>
      </c>
      <c r="B73" s="118" t="s">
        <v>18</v>
      </c>
      <c r="C73" s="110">
        <f>+'Prihodi i rashodi PR,EK i IZ'!C180+'Prihodi i rashodi PR,EK i IZ'!C251+'Prihodi i rashodi PR,EK i IZ'!C331</f>
        <v>6883.15</v>
      </c>
      <c r="D73" s="110">
        <f>+'Prihodi i rashodi PR,EK i IZ'!D180+'Prihodi i rashodi PR,EK i IZ'!D251+'Prihodi i rashodi PR,EK i IZ'!D331</f>
        <v>13000</v>
      </c>
      <c r="E73" s="110">
        <f>+'Prihodi i rashodi PR,EK i IZ'!E180+'Prihodi i rashodi PR,EK i IZ'!E251+'Prihodi i rashodi PR,EK i IZ'!E331</f>
        <v>13300</v>
      </c>
      <c r="F73" s="110">
        <f>+'Prihodi i rashodi PR,EK i IZ'!F180+'Prihodi i rashodi PR,EK i IZ'!F251+'Prihodi i rashodi PR,EK i IZ'!F331</f>
        <v>9459.39</v>
      </c>
      <c r="G73" s="61">
        <f>F73/C73*100</f>
        <v>137.42821237369517</v>
      </c>
      <c r="H73" s="64">
        <f t="shared" si="3"/>
        <v>71.12323308270676</v>
      </c>
    </row>
    <row r="74" spans="1:8" s="111" customFormat="1" ht="15">
      <c r="A74" s="174">
        <v>34</v>
      </c>
      <c r="B74" s="175" t="s">
        <v>19</v>
      </c>
      <c r="C74" s="176">
        <f>SUM(C75)</f>
        <v>3791.92</v>
      </c>
      <c r="D74" s="176">
        <f>SUM(D75)</f>
        <v>4000</v>
      </c>
      <c r="E74" s="176">
        <f>SUM(E75)</f>
        <v>4527.8</v>
      </c>
      <c r="F74" s="176">
        <f>SUM(F75)</f>
        <v>4527.8</v>
      </c>
      <c r="G74" s="158">
        <f aca="true" t="shared" si="4" ref="G74:G98">F74/C74*100</f>
        <v>119.40652756387267</v>
      </c>
      <c r="H74" s="182">
        <f t="shared" si="3"/>
        <v>100</v>
      </c>
    </row>
    <row r="75" spans="1:8" s="111" customFormat="1" ht="15">
      <c r="A75" s="167">
        <v>343</v>
      </c>
      <c r="B75" s="168" t="s">
        <v>20</v>
      </c>
      <c r="C75" s="169">
        <f>SUM(C76,C77)</f>
        <v>3791.92</v>
      </c>
      <c r="D75" s="169">
        <f>SUM(D76,D77)</f>
        <v>4000</v>
      </c>
      <c r="E75" s="169">
        <f>SUM(E76,E77)</f>
        <v>4527.8</v>
      </c>
      <c r="F75" s="169">
        <f>SUM(F76,F77)</f>
        <v>4527.8</v>
      </c>
      <c r="G75" s="162">
        <f t="shared" si="4"/>
        <v>119.40652756387267</v>
      </c>
      <c r="H75" s="183">
        <f t="shared" si="3"/>
        <v>100</v>
      </c>
    </row>
    <row r="76" spans="1:8" s="109" customFormat="1" ht="15">
      <c r="A76" s="114" t="s">
        <v>108</v>
      </c>
      <c r="B76" s="118" t="s">
        <v>109</v>
      </c>
      <c r="C76" s="110">
        <f>+'Prihodi i rashodi PR,EK i IZ'!C183</f>
        <v>3791.92</v>
      </c>
      <c r="D76" s="110">
        <f>+'Prihodi i rashodi PR,EK i IZ'!D183</f>
        <v>4000</v>
      </c>
      <c r="E76" s="110">
        <f>+'Prihodi i rashodi PR,EK i IZ'!E183</f>
        <v>4527.8</v>
      </c>
      <c r="F76" s="110">
        <f>+'Prihodi i rashodi PR,EK i IZ'!F183</f>
        <v>4527.8</v>
      </c>
      <c r="G76" s="61">
        <f t="shared" si="4"/>
        <v>119.40652756387267</v>
      </c>
      <c r="H76" s="64">
        <f t="shared" si="3"/>
        <v>100</v>
      </c>
    </row>
    <row r="77" spans="1:8" s="109" customFormat="1" ht="15">
      <c r="A77" s="114">
        <v>3433</v>
      </c>
      <c r="B77" s="118" t="s">
        <v>143</v>
      </c>
      <c r="C77" s="110">
        <f>+'Prihodi i rashodi PR,EK i IZ'!C184</f>
        <v>0</v>
      </c>
      <c r="D77" s="110">
        <f>+'Prihodi i rashodi PR,EK i IZ'!D184</f>
        <v>0</v>
      </c>
      <c r="E77" s="110">
        <f>+'Prihodi i rashodi PR,EK i IZ'!E184</f>
        <v>0</v>
      </c>
      <c r="F77" s="110">
        <f>+'Prihodi i rashodi PR,EK i IZ'!F184</f>
        <v>0</v>
      </c>
      <c r="G77" s="61" t="e">
        <f t="shared" si="4"/>
        <v>#DIV/0!</v>
      </c>
      <c r="H77" s="64" t="e">
        <f t="shared" si="3"/>
        <v>#DIV/0!</v>
      </c>
    </row>
    <row r="78" spans="1:8" s="109" customFormat="1" ht="15">
      <c r="A78" s="174">
        <v>37</v>
      </c>
      <c r="B78" s="175" t="s">
        <v>144</v>
      </c>
      <c r="C78" s="176">
        <f>SUM(C79)</f>
        <v>0</v>
      </c>
      <c r="D78" s="176">
        <f>SUM(D79)</f>
        <v>22500</v>
      </c>
      <c r="E78" s="176">
        <f>SUM(E79)</f>
        <v>22500</v>
      </c>
      <c r="F78" s="176">
        <f>SUM(F79)</f>
        <v>25041.9</v>
      </c>
      <c r="G78" s="158" t="e">
        <f t="shared" si="4"/>
        <v>#DIV/0!</v>
      </c>
      <c r="H78" s="182">
        <f t="shared" si="3"/>
        <v>111.29733333333334</v>
      </c>
    </row>
    <row r="79" spans="1:8" s="109" customFormat="1" ht="30">
      <c r="A79" s="167">
        <v>372</v>
      </c>
      <c r="B79" s="168" t="s">
        <v>145</v>
      </c>
      <c r="C79" s="169">
        <f>SUM(C80:C82)</f>
        <v>0</v>
      </c>
      <c r="D79" s="169">
        <f>SUM(D80:D82)</f>
        <v>22500</v>
      </c>
      <c r="E79" s="169">
        <f>SUM(E80:E82)</f>
        <v>22500</v>
      </c>
      <c r="F79" s="169">
        <f>SUM(F80:F82)</f>
        <v>25041.9</v>
      </c>
      <c r="G79" s="162" t="e">
        <f t="shared" si="4"/>
        <v>#DIV/0!</v>
      </c>
      <c r="H79" s="183">
        <f t="shared" si="3"/>
        <v>111.29733333333334</v>
      </c>
    </row>
    <row r="80" spans="1:8" s="109" customFormat="1" ht="15">
      <c r="A80" s="114">
        <v>3721</v>
      </c>
      <c r="B80" s="118" t="s">
        <v>172</v>
      </c>
      <c r="C80" s="110"/>
      <c r="D80" s="110"/>
      <c r="E80" s="110"/>
      <c r="F80" s="112"/>
      <c r="G80" s="61"/>
      <c r="H80" s="64"/>
    </row>
    <row r="81" spans="1:8" s="109" customFormat="1" ht="15">
      <c r="A81" s="114">
        <v>3722</v>
      </c>
      <c r="B81" s="118" t="s">
        <v>146</v>
      </c>
      <c r="C81" s="110">
        <f>+'Prihodi i rashodi PR,EK i IZ'!C187+'Prihodi i rashodi PR,EK i IZ'!C254+'Prihodi i rashodi PR,EK i IZ'!C302</f>
        <v>0</v>
      </c>
      <c r="D81" s="110">
        <f>+'Prihodi i rashodi PR,EK i IZ'!D187+'Prihodi i rashodi PR,EK i IZ'!D254+'Prihodi i rashodi PR,EK i IZ'!D302</f>
        <v>22500</v>
      </c>
      <c r="E81" s="110">
        <f>+'Prihodi i rashodi PR,EK i IZ'!E187+'Prihodi i rashodi PR,EK i IZ'!E254+'Prihodi i rashodi PR,EK i IZ'!E302</f>
        <v>22500</v>
      </c>
      <c r="F81" s="110">
        <f>+'Prihodi i rashodi PR,EK i IZ'!F187+'Prihodi i rashodi PR,EK i IZ'!F254+'Prihodi i rashodi PR,EK i IZ'!F302</f>
        <v>25041.9</v>
      </c>
      <c r="G81" s="61" t="e">
        <f t="shared" si="4"/>
        <v>#DIV/0!</v>
      </c>
      <c r="H81" s="64">
        <f t="shared" si="3"/>
        <v>111.29733333333334</v>
      </c>
    </row>
    <row r="82" spans="1:8" s="109" customFormat="1" ht="30">
      <c r="A82" s="114">
        <v>3723</v>
      </c>
      <c r="B82" s="118" t="s">
        <v>173</v>
      </c>
      <c r="C82" s="110"/>
      <c r="D82" s="110"/>
      <c r="E82" s="110"/>
      <c r="F82" s="110"/>
      <c r="G82" s="61" t="e">
        <f t="shared" si="4"/>
        <v>#DIV/0!</v>
      </c>
      <c r="H82" s="64" t="e">
        <f t="shared" si="3"/>
        <v>#DIV/0!</v>
      </c>
    </row>
    <row r="83" spans="1:8" s="109" customFormat="1" ht="21" customHeight="1">
      <c r="A83" s="174">
        <v>4</v>
      </c>
      <c r="B83" s="175" t="s">
        <v>164</v>
      </c>
      <c r="C83" s="176">
        <f>SUM(C84,C87)</f>
        <v>597867.68</v>
      </c>
      <c r="D83" s="176">
        <f>SUM(D84,D87)</f>
        <v>123587.19</v>
      </c>
      <c r="E83" s="176">
        <f>SUM(E84,E87)</f>
        <v>123587.19</v>
      </c>
      <c r="F83" s="176">
        <f>SUM(F84,F87)</f>
        <v>99861.94</v>
      </c>
      <c r="G83" s="158">
        <f t="shared" si="4"/>
        <v>16.70301696188026</v>
      </c>
      <c r="H83" s="182">
        <f t="shared" si="3"/>
        <v>80.80282430565822</v>
      </c>
    </row>
    <row r="84" spans="1:8" s="109" customFormat="1" ht="26.25" customHeight="1">
      <c r="A84" s="174">
        <v>41</v>
      </c>
      <c r="B84" s="175" t="s">
        <v>140</v>
      </c>
      <c r="C84" s="177">
        <f aca="true" t="shared" si="5" ref="C84:F85">SUM(C85)</f>
        <v>4636.25</v>
      </c>
      <c r="D84" s="177">
        <f t="shared" si="5"/>
        <v>2500</v>
      </c>
      <c r="E84" s="177">
        <f t="shared" si="5"/>
        <v>2500</v>
      </c>
      <c r="F84" s="177">
        <f t="shared" si="5"/>
        <v>2500</v>
      </c>
      <c r="G84" s="158">
        <f t="shared" si="4"/>
        <v>53.92289026691831</v>
      </c>
      <c r="H84" s="182">
        <f t="shared" si="3"/>
        <v>100</v>
      </c>
    </row>
    <row r="85" spans="1:8" s="109" customFormat="1" ht="15">
      <c r="A85" s="167">
        <v>412</v>
      </c>
      <c r="B85" s="168" t="s">
        <v>141</v>
      </c>
      <c r="C85" s="170">
        <f t="shared" si="5"/>
        <v>4636.25</v>
      </c>
      <c r="D85" s="170">
        <f t="shared" si="5"/>
        <v>2500</v>
      </c>
      <c r="E85" s="170">
        <f t="shared" si="5"/>
        <v>2500</v>
      </c>
      <c r="F85" s="170">
        <f t="shared" si="5"/>
        <v>2500</v>
      </c>
      <c r="G85" s="162">
        <f t="shared" si="4"/>
        <v>53.92289026691831</v>
      </c>
      <c r="H85" s="183">
        <f t="shared" si="3"/>
        <v>100</v>
      </c>
    </row>
    <row r="86" spans="1:8" s="109" customFormat="1" ht="15">
      <c r="A86" s="114">
        <v>4123</v>
      </c>
      <c r="B86" s="118" t="s">
        <v>142</v>
      </c>
      <c r="C86" s="110">
        <f>+'Prihodi i rashodi PR,EK i IZ'!C397</f>
        <v>4636.25</v>
      </c>
      <c r="D86" s="110">
        <f>+'Prihodi i rashodi PR,EK i IZ'!D397</f>
        <v>2500</v>
      </c>
      <c r="E86" s="110">
        <f>+'Prihodi i rashodi PR,EK i IZ'!E397</f>
        <v>2500</v>
      </c>
      <c r="F86" s="110">
        <f>+'Prihodi i rashodi PR,EK i IZ'!F397</f>
        <v>2500</v>
      </c>
      <c r="G86" s="61">
        <f t="shared" si="4"/>
        <v>53.92289026691831</v>
      </c>
      <c r="H86" s="64">
        <f t="shared" si="3"/>
        <v>100</v>
      </c>
    </row>
    <row r="87" spans="1:8" s="111" customFormat="1" ht="21" customHeight="1">
      <c r="A87" s="174">
        <v>42</v>
      </c>
      <c r="B87" s="175" t="s">
        <v>22</v>
      </c>
      <c r="C87" s="176">
        <f>SUM(C88,C93)+C95</f>
        <v>593231.43</v>
      </c>
      <c r="D87" s="176">
        <f>SUM(D88,D93)+D95</f>
        <v>121087.19</v>
      </c>
      <c r="E87" s="176">
        <f>SUM(E88,E93)+E95</f>
        <v>121087.19</v>
      </c>
      <c r="F87" s="176">
        <f>SUM(F88,F93)+F95</f>
        <v>97361.94</v>
      </c>
      <c r="G87" s="158">
        <f t="shared" si="4"/>
        <v>16.41213446833051</v>
      </c>
      <c r="H87" s="182">
        <f t="shared" si="3"/>
        <v>80.4064740456856</v>
      </c>
    </row>
    <row r="88" spans="1:8" s="111" customFormat="1" ht="15">
      <c r="A88" s="167">
        <v>422</v>
      </c>
      <c r="B88" s="168" t="s">
        <v>21</v>
      </c>
      <c r="C88" s="169">
        <f>SUM(C89:C92)</f>
        <v>453484.91000000003</v>
      </c>
      <c r="D88" s="169">
        <f>SUM(D89:D92)</f>
        <v>116077.19</v>
      </c>
      <c r="E88" s="169">
        <f>SUM(E89:E92)</f>
        <v>116077.19</v>
      </c>
      <c r="F88" s="169">
        <f>SUM(F89:F92)</f>
        <v>90374.63</v>
      </c>
      <c r="G88" s="162">
        <f t="shared" si="4"/>
        <v>19.928916708606685</v>
      </c>
      <c r="H88" s="183">
        <f t="shared" si="3"/>
        <v>77.85735509276198</v>
      </c>
    </row>
    <row r="89" spans="1:8" s="109" customFormat="1" ht="15">
      <c r="A89" s="114" t="s">
        <v>110</v>
      </c>
      <c r="B89" s="118" t="s">
        <v>111</v>
      </c>
      <c r="C89" s="110">
        <f>+'Prihodi i rashodi PR,EK i IZ'!C258+'Prihodi i rashodi PR,EK i IZ'!C305+'Prihodi i rashodi PR,EK i IZ'!C334+'Prihodi i rashodi PR,EK i IZ'!C363+'Prihodi i rashodi PR,EK i IZ'!C374+'Prihodi i rashodi PR,EK i IZ'!C384+'Prihodi i rashodi PR,EK i IZ'!C400+'Prihodi i rashodi PR,EK i IZ'!C411+'Prihodi i rashodi PR,EK i IZ'!C420</f>
        <v>56144.909999999996</v>
      </c>
      <c r="D89" s="110">
        <f>+'Prihodi i rashodi PR,EK i IZ'!D258+'Prihodi i rashodi PR,EK i IZ'!D305+'Prihodi i rashodi PR,EK i IZ'!D334+'Prihodi i rashodi PR,EK i IZ'!D363+'Prihodi i rashodi PR,EK i IZ'!D374+'Prihodi i rashodi PR,EK i IZ'!D384+'Prihodi i rashodi PR,EK i IZ'!D400+'Prihodi i rashodi PR,EK i IZ'!D411+'Prihodi i rashodi PR,EK i IZ'!D420</f>
        <v>65858.89</v>
      </c>
      <c r="E89" s="110">
        <f>+'Prihodi i rashodi PR,EK i IZ'!E258+'Prihodi i rashodi PR,EK i IZ'!E305+'Prihodi i rashodi PR,EK i IZ'!E334+'Prihodi i rashodi PR,EK i IZ'!E363+'Prihodi i rashodi PR,EK i IZ'!E374+'Prihodi i rashodi PR,EK i IZ'!E384+'Prihodi i rashodi PR,EK i IZ'!E400+'Prihodi i rashodi PR,EK i IZ'!E411+'Prihodi i rashodi PR,EK i IZ'!E420</f>
        <v>65858.89</v>
      </c>
      <c r="F89" s="110">
        <f>+'Prihodi i rashodi PR,EK i IZ'!F258+'Prihodi i rashodi PR,EK i IZ'!F305+'Prihodi i rashodi PR,EK i IZ'!F334+'Prihodi i rashodi PR,EK i IZ'!F363+'Prihodi i rashodi PR,EK i IZ'!F374+'Prihodi i rashodi PR,EK i IZ'!F384+'Prihodi i rashodi PR,EK i IZ'!F400+'Prihodi i rashodi PR,EK i IZ'!F411+'Prihodi i rashodi PR,EK i IZ'!F420</f>
        <v>51548.75</v>
      </c>
      <c r="G89" s="61">
        <f t="shared" si="4"/>
        <v>91.81375479985631</v>
      </c>
      <c r="H89" s="64">
        <f t="shared" si="3"/>
        <v>78.2715135344674</v>
      </c>
    </row>
    <row r="90" spans="1:8" s="109" customFormat="1" ht="15">
      <c r="A90" s="115">
        <v>4223</v>
      </c>
      <c r="B90" s="152" t="s">
        <v>218</v>
      </c>
      <c r="C90" s="113">
        <f>+'Prihodi i rashodi PR,EK i IZ'!C259</f>
        <v>14425</v>
      </c>
      <c r="D90" s="113">
        <f>+'Prihodi i rashodi PR,EK i IZ'!D259</f>
        <v>0</v>
      </c>
      <c r="E90" s="113">
        <f>+'Prihodi i rashodi PR,EK i IZ'!E259</f>
        <v>0</v>
      </c>
      <c r="F90" s="113">
        <f>+'Prihodi i rashodi PR,EK i IZ'!F259</f>
        <v>0</v>
      </c>
      <c r="G90" s="61">
        <f t="shared" si="4"/>
        <v>0</v>
      </c>
      <c r="H90" s="64" t="e">
        <f t="shared" si="3"/>
        <v>#DIV/0!</v>
      </c>
    </row>
    <row r="91" spans="1:8" s="109" customFormat="1" ht="15">
      <c r="A91" s="114">
        <v>4224</v>
      </c>
      <c r="B91" s="261" t="s">
        <v>198</v>
      </c>
      <c r="C91" s="110">
        <f>+'Prihodi i rashodi PR,EK i IZ'!C364+'Prihodi i rashodi PR,EK i IZ'!C401</f>
        <v>161813.75</v>
      </c>
      <c r="D91" s="110">
        <f>+'Prihodi i rashodi PR,EK i IZ'!D364+'Prihodi i rashodi PR,EK i IZ'!D401</f>
        <v>10000</v>
      </c>
      <c r="E91" s="110">
        <f>+'Prihodi i rashodi PR,EK i IZ'!E364+'Prihodi i rashodi PR,EK i IZ'!E401</f>
        <v>10000</v>
      </c>
      <c r="F91" s="110">
        <f>+'Prihodi i rashodi PR,EK i IZ'!F364+'Prihodi i rashodi PR,EK i IZ'!F401</f>
        <v>0</v>
      </c>
      <c r="G91" s="61">
        <f>F91/C91*100</f>
        <v>0</v>
      </c>
      <c r="H91" s="64">
        <f>F91/E91*100</f>
        <v>0</v>
      </c>
    </row>
    <row r="92" spans="1:8" s="109" customFormat="1" ht="15">
      <c r="A92" s="114">
        <v>4227</v>
      </c>
      <c r="B92" s="21" t="s">
        <v>199</v>
      </c>
      <c r="C92" s="110">
        <f>+'Prihodi i rashodi PR,EK i IZ'!C365+'Prihodi i rashodi PR,EK i IZ'!C385+'Prihodi i rashodi PR,EK i IZ'!C402+'Prihodi i rashodi PR,EK i IZ'!C429</f>
        <v>221101.25</v>
      </c>
      <c r="D92" s="110">
        <f>+'Prihodi i rashodi PR,EK i IZ'!D365+'Prihodi i rashodi PR,EK i IZ'!D385+'Prihodi i rashodi PR,EK i IZ'!D402+'Prihodi i rashodi PR,EK i IZ'!D429</f>
        <v>40218.3</v>
      </c>
      <c r="E92" s="110">
        <f>+'Prihodi i rashodi PR,EK i IZ'!E365+'Prihodi i rashodi PR,EK i IZ'!E385+'Prihodi i rashodi PR,EK i IZ'!E402+'Prihodi i rashodi PR,EK i IZ'!E429</f>
        <v>40218.3</v>
      </c>
      <c r="F92" s="110">
        <f>+'Prihodi i rashodi PR,EK i IZ'!F365+'Prihodi i rashodi PR,EK i IZ'!F385+'Prihodi i rashodi PR,EK i IZ'!F402+'Prihodi i rashodi PR,EK i IZ'!F429</f>
        <v>38825.880000000005</v>
      </c>
      <c r="G92" s="61">
        <f>F92/C92*100</f>
        <v>17.56022636687943</v>
      </c>
      <c r="H92" s="64">
        <f>F92/E92*100</f>
        <v>96.53784471248163</v>
      </c>
    </row>
    <row r="93" spans="1:8" s="109" customFormat="1" ht="15">
      <c r="A93" s="167">
        <v>424</v>
      </c>
      <c r="B93" s="168" t="s">
        <v>138</v>
      </c>
      <c r="C93" s="169">
        <f>SUM(C94)</f>
        <v>10246.52</v>
      </c>
      <c r="D93" s="169">
        <f>SUM(D94)</f>
        <v>1260</v>
      </c>
      <c r="E93" s="169">
        <f>SUM(E94)</f>
        <v>1260</v>
      </c>
      <c r="F93" s="169">
        <f>SUM(F94)</f>
        <v>4762.31</v>
      </c>
      <c r="G93" s="162">
        <f>F93/C93*100</f>
        <v>46.47734059954014</v>
      </c>
      <c r="H93" s="183">
        <f>F93/E93*100</f>
        <v>377.96111111111117</v>
      </c>
    </row>
    <row r="94" spans="1:8" s="109" customFormat="1" ht="15">
      <c r="A94" s="114">
        <v>4241</v>
      </c>
      <c r="B94" s="118" t="s">
        <v>139</v>
      </c>
      <c r="C94" s="110">
        <f>+'Prihodi i rashodi PR,EK i IZ'!C261+'Prihodi i rashodi PR,EK i IZ'!C307+'Prihodi i rashodi PR,EK i IZ'!C354+'Prihodi i rashodi PR,EK i IZ'!C387</f>
        <v>10246.52</v>
      </c>
      <c r="D94" s="110">
        <f>+'Prihodi i rashodi PR,EK i IZ'!D261+'Prihodi i rashodi PR,EK i IZ'!D307+'Prihodi i rashodi PR,EK i IZ'!D354+'Prihodi i rashodi PR,EK i IZ'!D387</f>
        <v>1260</v>
      </c>
      <c r="E94" s="110">
        <f>+'Prihodi i rashodi PR,EK i IZ'!E261+'Prihodi i rashodi PR,EK i IZ'!E307+'Prihodi i rashodi PR,EK i IZ'!E354+'Prihodi i rashodi PR,EK i IZ'!E387</f>
        <v>1260</v>
      </c>
      <c r="F94" s="110">
        <f>+'Prihodi i rashodi PR,EK i IZ'!F261+'Prihodi i rashodi PR,EK i IZ'!F307+'Prihodi i rashodi PR,EK i IZ'!F354+'Prihodi i rashodi PR,EK i IZ'!F387</f>
        <v>4762.31</v>
      </c>
      <c r="G94" s="160">
        <f t="shared" si="4"/>
        <v>46.47734059954014</v>
      </c>
      <c r="H94" s="161">
        <f t="shared" si="3"/>
        <v>377.96111111111117</v>
      </c>
    </row>
    <row r="95" spans="1:8" s="109" customFormat="1" ht="15">
      <c r="A95" s="167">
        <v>426</v>
      </c>
      <c r="B95" s="168" t="s">
        <v>194</v>
      </c>
      <c r="C95" s="169">
        <f>SUM(C96:C97)</f>
        <v>129500</v>
      </c>
      <c r="D95" s="169">
        <f>SUM(D96:D97)</f>
        <v>3750</v>
      </c>
      <c r="E95" s="169">
        <f>SUM(E96:E97)</f>
        <v>3750</v>
      </c>
      <c r="F95" s="169">
        <f>SUM(F96:F97)</f>
        <v>2225</v>
      </c>
      <c r="G95" s="162">
        <f>F95/C95*100</f>
        <v>1.718146718146718</v>
      </c>
      <c r="H95" s="183">
        <f>F95/E95*100</f>
        <v>59.333333333333336</v>
      </c>
    </row>
    <row r="96" spans="1:8" s="109" customFormat="1" ht="15">
      <c r="A96" s="114">
        <v>4262</v>
      </c>
      <c r="B96" s="21" t="s">
        <v>193</v>
      </c>
      <c r="C96" s="110">
        <f>+'Prihodi i rashodi PR,EK i IZ'!C263</f>
        <v>4500</v>
      </c>
      <c r="D96" s="110">
        <f>+'Prihodi i rashodi PR,EK i IZ'!D263</f>
        <v>3750</v>
      </c>
      <c r="E96" s="110">
        <f>+'Prihodi i rashodi PR,EK i IZ'!E263</f>
        <v>3750</v>
      </c>
      <c r="F96" s="110">
        <f>+'Prihodi i rashodi PR,EK i IZ'!F263</f>
        <v>2225</v>
      </c>
      <c r="G96" s="160">
        <f>F96/C96*100</f>
        <v>49.44444444444444</v>
      </c>
      <c r="H96" s="161">
        <f>F96/E96*100</f>
        <v>59.333333333333336</v>
      </c>
    </row>
    <row r="97" spans="1:8" s="109" customFormat="1" ht="15">
      <c r="A97" s="151">
        <v>4264</v>
      </c>
      <c r="B97" s="439" t="s">
        <v>224</v>
      </c>
      <c r="C97" s="153">
        <f>+'Prihodi i rashodi PR,EK i IZ'!C472</f>
        <v>125000</v>
      </c>
      <c r="D97" s="153">
        <f>+'Prihodi i rashodi PR,EK i IZ'!D472</f>
        <v>0</v>
      </c>
      <c r="E97" s="153">
        <f>+'Prihodi i rashodi PR,EK i IZ'!E472</f>
        <v>0</v>
      </c>
      <c r="F97" s="153">
        <f>+'Prihodi i rashodi PR,EK i IZ'!F472</f>
        <v>0</v>
      </c>
      <c r="G97" s="341">
        <f>F97/C97*100</f>
        <v>0</v>
      </c>
      <c r="H97" s="360" t="e">
        <f>F97/E97*100</f>
        <v>#DIV/0!</v>
      </c>
    </row>
    <row r="98" spans="1:8" s="142" customFormat="1" ht="19.5">
      <c r="A98" s="462" t="s">
        <v>119</v>
      </c>
      <c r="B98" s="463"/>
      <c r="C98" s="141">
        <f>SUM(C34,C43,C74,C78,C83)</f>
        <v>14539300.079999998</v>
      </c>
      <c r="D98" s="141">
        <f>SUM(D34,D43,D74,D78,D83)</f>
        <v>14052229.66</v>
      </c>
      <c r="E98" s="141">
        <f>SUM(E34,E43,E74,E78,E83)</f>
        <v>14076917.62</v>
      </c>
      <c r="F98" s="141">
        <f>SUM(F34,F43,F74,F78,F83)</f>
        <v>14605454.120000001</v>
      </c>
      <c r="G98" s="10">
        <f t="shared" si="4"/>
        <v>100.45500154502625</v>
      </c>
      <c r="H98" s="10">
        <f t="shared" si="3"/>
        <v>103.7546323298012</v>
      </c>
    </row>
    <row r="99" spans="1:8" s="75" customFormat="1" ht="20.25">
      <c r="A99" s="116"/>
      <c r="B99" s="116"/>
      <c r="C99" s="116"/>
      <c r="D99" s="116"/>
      <c r="E99" s="116"/>
      <c r="F99" s="116"/>
      <c r="G99" s="116"/>
      <c r="H99" s="117"/>
    </row>
    <row r="100" spans="1:8" s="75" customFormat="1" ht="20.25">
      <c r="A100" s="43"/>
      <c r="B100" s="43"/>
      <c r="C100" s="43"/>
      <c r="D100" s="43"/>
      <c r="E100" s="43"/>
      <c r="F100" s="43"/>
      <c r="G100" s="43"/>
      <c r="H100" s="25"/>
    </row>
    <row r="101" spans="1:8" s="75" customFormat="1" ht="20.25">
      <c r="A101" s="43"/>
      <c r="B101" s="43"/>
      <c r="C101" s="43"/>
      <c r="D101" s="43"/>
      <c r="E101" s="43"/>
      <c r="F101" s="43"/>
      <c r="G101" s="43"/>
      <c r="H101" s="25"/>
    </row>
    <row r="102" spans="1:8" s="75" customFormat="1" ht="20.25">
      <c r="A102" s="43"/>
      <c r="B102" s="43"/>
      <c r="C102" s="43"/>
      <c r="D102" s="43"/>
      <c r="E102" s="43"/>
      <c r="F102" s="43"/>
      <c r="G102" s="43"/>
      <c r="H102" s="25"/>
    </row>
    <row r="103" spans="1:8" s="75" customFormat="1" ht="20.25">
      <c r="A103" s="43"/>
      <c r="B103" s="43"/>
      <c r="C103" s="43"/>
      <c r="D103" s="43"/>
      <c r="E103" s="43"/>
      <c r="F103" s="43"/>
      <c r="G103" s="43"/>
      <c r="H103" s="25"/>
    </row>
    <row r="104" spans="1:8" s="75" customFormat="1" ht="20.25">
      <c r="A104" s="43"/>
      <c r="B104" s="43"/>
      <c r="C104" s="43"/>
      <c r="D104" s="43"/>
      <c r="E104" s="43"/>
      <c r="F104" s="43"/>
      <c r="G104" s="43"/>
      <c r="H104" s="25"/>
    </row>
    <row r="105" spans="1:8" s="75" customFormat="1" ht="20.25">
      <c r="A105" s="43"/>
      <c r="B105" s="43"/>
      <c r="C105" s="43"/>
      <c r="D105" s="43"/>
      <c r="E105" s="43"/>
      <c r="F105" s="43"/>
      <c r="G105" s="43"/>
      <c r="H105" s="25"/>
    </row>
    <row r="106" spans="1:8" s="75" customFormat="1" ht="20.25">
      <c r="A106" s="43"/>
      <c r="B106" s="43"/>
      <c r="C106" s="43"/>
      <c r="D106" s="43"/>
      <c r="E106" s="43"/>
      <c r="F106" s="43"/>
      <c r="G106" s="43"/>
      <c r="H106" s="25"/>
    </row>
    <row r="107" spans="1:8" s="75" customFormat="1" ht="20.25">
      <c r="A107" s="43"/>
      <c r="B107" s="43"/>
      <c r="C107" s="43"/>
      <c r="D107" s="43"/>
      <c r="E107" s="43"/>
      <c r="F107" s="43"/>
      <c r="G107" s="43"/>
      <c r="H107" s="25"/>
    </row>
    <row r="108" spans="1:8" s="75" customFormat="1" ht="20.25">
      <c r="A108" s="43"/>
      <c r="B108" s="43"/>
      <c r="C108" s="43"/>
      <c r="D108" s="43"/>
      <c r="E108" s="43"/>
      <c r="F108" s="43"/>
      <c r="G108" s="43"/>
      <c r="H108" s="25"/>
    </row>
    <row r="109" spans="1:8" s="75" customFormat="1" ht="20.25">
      <c r="A109" s="43"/>
      <c r="B109" s="43"/>
      <c r="C109" s="43"/>
      <c r="D109" s="43"/>
      <c r="E109" s="43"/>
      <c r="F109" s="43"/>
      <c r="G109" s="43"/>
      <c r="H109" s="25"/>
    </row>
    <row r="112" ht="15">
      <c r="D112" s="40"/>
    </row>
  </sheetData>
  <sheetProtection/>
  <mergeCells count="24">
    <mergeCell ref="A1:G1"/>
    <mergeCell ref="A4:G4"/>
    <mergeCell ref="A6:A7"/>
    <mergeCell ref="B6:B7"/>
    <mergeCell ref="C6:C7"/>
    <mergeCell ref="D6:D7"/>
    <mergeCell ref="E6:E7"/>
    <mergeCell ref="B31:B32"/>
    <mergeCell ref="C31:C32"/>
    <mergeCell ref="D31:D32"/>
    <mergeCell ref="A27:B27"/>
    <mergeCell ref="H6:H7"/>
    <mergeCell ref="A8:B8"/>
    <mergeCell ref="A30:G30"/>
    <mergeCell ref="A98:B98"/>
    <mergeCell ref="A2:H2"/>
    <mergeCell ref="E31:E32"/>
    <mergeCell ref="F31:F32"/>
    <mergeCell ref="F6:F7"/>
    <mergeCell ref="G6:G7"/>
    <mergeCell ref="G31:G32"/>
    <mergeCell ref="H31:H32"/>
    <mergeCell ref="A33:B33"/>
    <mergeCell ref="A31:A32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6"/>
  <sheetViews>
    <sheetView tabSelected="1" zoomScale="85" zoomScaleNormal="85" zoomScalePageLayoutView="0" workbookViewId="0" topLeftCell="A1">
      <selection activeCell="D564" sqref="D564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475" t="s">
        <v>229</v>
      </c>
      <c r="B1" s="475"/>
      <c r="C1" s="475"/>
      <c r="D1" s="475"/>
      <c r="E1" s="475"/>
      <c r="F1" s="475"/>
      <c r="G1" s="475"/>
      <c r="H1" s="2"/>
    </row>
    <row r="3" spans="1:7" ht="20.25">
      <c r="A3" s="500" t="s">
        <v>28</v>
      </c>
      <c r="B3" s="500"/>
      <c r="C3" s="500"/>
      <c r="D3" s="500"/>
      <c r="E3" s="500"/>
      <c r="F3" s="500"/>
      <c r="G3" s="500"/>
    </row>
    <row r="5" spans="1:7" s="5" customFormat="1" ht="15">
      <c r="A5" s="4" t="s">
        <v>36</v>
      </c>
      <c r="D5" s="6"/>
      <c r="E5" s="6"/>
      <c r="F5" s="6"/>
      <c r="G5" s="6"/>
    </row>
    <row r="6" spans="1:8" ht="15.75" customHeight="1">
      <c r="A6" s="468" t="s">
        <v>29</v>
      </c>
      <c r="B6" s="470" t="s">
        <v>3</v>
      </c>
      <c r="C6" s="470" t="s">
        <v>74</v>
      </c>
      <c r="D6" s="465" t="s">
        <v>169</v>
      </c>
      <c r="E6" s="465" t="s">
        <v>170</v>
      </c>
      <c r="F6" s="465" t="s">
        <v>171</v>
      </c>
      <c r="G6" s="465" t="s">
        <v>75</v>
      </c>
      <c r="H6" s="465" t="s">
        <v>75</v>
      </c>
    </row>
    <row r="7" spans="1:8" ht="31.5" customHeight="1">
      <c r="A7" s="469"/>
      <c r="B7" s="471"/>
      <c r="C7" s="471"/>
      <c r="D7" s="466"/>
      <c r="E7" s="466"/>
      <c r="F7" s="466"/>
      <c r="G7" s="466"/>
      <c r="H7" s="466"/>
    </row>
    <row r="8" spans="1:8" s="75" customFormat="1" ht="12">
      <c r="A8" s="467">
        <v>1</v>
      </c>
      <c r="B8" s="467"/>
      <c r="C8" s="107">
        <v>2</v>
      </c>
      <c r="D8" s="108">
        <v>3</v>
      </c>
      <c r="E8" s="108">
        <v>4</v>
      </c>
      <c r="F8" s="108">
        <v>5</v>
      </c>
      <c r="G8" s="108" t="s">
        <v>76</v>
      </c>
      <c r="H8" s="74" t="s">
        <v>77</v>
      </c>
    </row>
    <row r="9" spans="1:8" ht="30">
      <c r="A9" s="205">
        <v>67</v>
      </c>
      <c r="B9" s="166" t="s">
        <v>37</v>
      </c>
      <c r="C9" s="163">
        <f>SUM(C10,C11)</f>
        <v>1179843.29</v>
      </c>
      <c r="D9" s="163">
        <f>SUM(D10,D11)</f>
        <v>1003292.14</v>
      </c>
      <c r="E9" s="163">
        <f>SUM(E10,E11)</f>
        <v>1027979.64</v>
      </c>
      <c r="F9" s="163">
        <f>SUM(F10,F11)</f>
        <v>1023702.88</v>
      </c>
      <c r="G9" s="163">
        <f>F9/C9*100</f>
        <v>86.7660043224893</v>
      </c>
      <c r="H9" s="183">
        <f>F9/E9*100</f>
        <v>99.58396452287712</v>
      </c>
    </row>
    <row r="10" spans="1:8" ht="30">
      <c r="A10" s="20">
        <v>6711</v>
      </c>
      <c r="B10" s="21" t="s">
        <v>38</v>
      </c>
      <c r="C10" s="82">
        <v>1054843.29</v>
      </c>
      <c r="D10" s="22">
        <v>1003292.14</v>
      </c>
      <c r="E10" s="22">
        <f>1003292.14+5000+19687.5</f>
        <v>1027979.64</v>
      </c>
      <c r="F10" s="22">
        <v>1023702.88</v>
      </c>
      <c r="G10" s="32">
        <f>F10/C10*100</f>
        <v>97.04786385852631</v>
      </c>
      <c r="H10" s="64">
        <f>F10/E10*100</f>
        <v>99.58396452287712</v>
      </c>
    </row>
    <row r="11" spans="1:8" ht="45">
      <c r="A11" s="337">
        <v>6712</v>
      </c>
      <c r="B11" s="338" t="s">
        <v>39</v>
      </c>
      <c r="C11" s="339">
        <v>125000</v>
      </c>
      <c r="D11" s="340">
        <v>0</v>
      </c>
      <c r="E11" s="340">
        <v>0</v>
      </c>
      <c r="F11" s="340">
        <v>0</v>
      </c>
      <c r="G11" s="341">
        <f>F11/C11*100</f>
        <v>0</v>
      </c>
      <c r="H11" s="161" t="e">
        <f>F11/E11*100</f>
        <v>#DIV/0!</v>
      </c>
    </row>
    <row r="12" spans="1:8" ht="21.75" customHeight="1">
      <c r="A12" s="494" t="s">
        <v>40</v>
      </c>
      <c r="B12" s="494"/>
      <c r="C12" s="185">
        <f>C9</f>
        <v>1179843.29</v>
      </c>
      <c r="D12" s="185">
        <f>D9</f>
        <v>1003292.14</v>
      </c>
      <c r="E12" s="185">
        <f>E9</f>
        <v>1027979.64</v>
      </c>
      <c r="F12" s="185">
        <f>F9</f>
        <v>1023702.88</v>
      </c>
      <c r="G12" s="185">
        <f>F12/C12*100</f>
        <v>86.7660043224893</v>
      </c>
      <c r="H12" s="185">
        <f>F12/E12*100</f>
        <v>99.58396452287712</v>
      </c>
    </row>
    <row r="13" spans="1:7" ht="15">
      <c r="A13" s="68"/>
      <c r="B13" s="68"/>
      <c r="C13" s="68"/>
      <c r="D13" s="12"/>
      <c r="E13" s="12"/>
      <c r="F13" s="12"/>
      <c r="G13" s="12"/>
    </row>
    <row r="14" spans="1:7" ht="15">
      <c r="A14" s="4" t="s">
        <v>41</v>
      </c>
      <c r="B14" s="5"/>
      <c r="C14" s="5"/>
      <c r="D14" s="6"/>
      <c r="E14" s="6"/>
      <c r="F14" s="6"/>
      <c r="G14" s="6"/>
    </row>
    <row r="15" spans="1:8" ht="15">
      <c r="A15" s="468" t="s">
        <v>29</v>
      </c>
      <c r="B15" s="470" t="s">
        <v>3</v>
      </c>
      <c r="C15" s="470" t="s">
        <v>74</v>
      </c>
      <c r="D15" s="465" t="s">
        <v>169</v>
      </c>
      <c r="E15" s="465" t="s">
        <v>170</v>
      </c>
      <c r="F15" s="465" t="s">
        <v>171</v>
      </c>
      <c r="G15" s="465" t="s">
        <v>75</v>
      </c>
      <c r="H15" s="465" t="s">
        <v>75</v>
      </c>
    </row>
    <row r="16" spans="1:8" ht="30" customHeight="1">
      <c r="A16" s="469"/>
      <c r="B16" s="471"/>
      <c r="C16" s="471"/>
      <c r="D16" s="466"/>
      <c r="E16" s="466"/>
      <c r="F16" s="466"/>
      <c r="G16" s="466"/>
      <c r="H16" s="466"/>
    </row>
    <row r="17" spans="1:8" s="75" customFormat="1" ht="12">
      <c r="A17" s="473">
        <v>1</v>
      </c>
      <c r="B17" s="467"/>
      <c r="C17" s="73">
        <v>2</v>
      </c>
      <c r="D17" s="74">
        <v>3</v>
      </c>
      <c r="E17" s="74">
        <v>4</v>
      </c>
      <c r="F17" s="74">
        <v>5</v>
      </c>
      <c r="G17" s="74" t="s">
        <v>76</v>
      </c>
      <c r="H17" s="74" t="s">
        <v>77</v>
      </c>
    </row>
    <row r="18" spans="1:8" s="75" customFormat="1" ht="15">
      <c r="A18" s="306">
        <v>641</v>
      </c>
      <c r="B18" s="304" t="s">
        <v>216</v>
      </c>
      <c r="C18" s="307">
        <f>+C19</f>
        <v>0</v>
      </c>
      <c r="D18" s="307">
        <f>+D19</f>
        <v>10</v>
      </c>
      <c r="E18" s="307">
        <f>+E19</f>
        <v>10</v>
      </c>
      <c r="F18" s="307">
        <f>+F19</f>
        <v>1</v>
      </c>
      <c r="G18" s="186" t="e">
        <f aca="true" t="shared" si="0" ref="G18:G23">F18/C18*100</f>
        <v>#DIV/0!</v>
      </c>
      <c r="H18" s="187">
        <f aca="true" t="shared" si="1" ref="H18:H23">F18/E18*100</f>
        <v>10</v>
      </c>
    </row>
    <row r="19" spans="1:8" s="75" customFormat="1" ht="15">
      <c r="A19" s="351">
        <v>64132</v>
      </c>
      <c r="B19" s="305" t="s">
        <v>176</v>
      </c>
      <c r="C19" s="352"/>
      <c r="D19" s="353">
        <v>10</v>
      </c>
      <c r="E19" s="353">
        <f>+D19</f>
        <v>10</v>
      </c>
      <c r="F19" s="353">
        <v>1</v>
      </c>
      <c r="G19" s="32" t="e">
        <f t="shared" si="0"/>
        <v>#DIV/0!</v>
      </c>
      <c r="H19" s="342">
        <f t="shared" si="1"/>
        <v>10</v>
      </c>
    </row>
    <row r="20" spans="1:8" ht="30">
      <c r="A20" s="297">
        <v>661</v>
      </c>
      <c r="B20" s="350" t="s">
        <v>43</v>
      </c>
      <c r="C20" s="298">
        <f>+C21+C22</f>
        <v>49776.02</v>
      </c>
      <c r="D20" s="298">
        <f>+D21+D22</f>
        <v>23708</v>
      </c>
      <c r="E20" s="298">
        <f>+E21+E22</f>
        <v>23708</v>
      </c>
      <c r="F20" s="298">
        <f>+F21+F22</f>
        <v>19253</v>
      </c>
      <c r="G20" s="163">
        <f t="shared" si="0"/>
        <v>38.679267647353086</v>
      </c>
      <c r="H20" s="387">
        <f t="shared" si="1"/>
        <v>81.20887464147123</v>
      </c>
    </row>
    <row r="21" spans="1:8" ht="15">
      <c r="A21" s="20">
        <v>6614</v>
      </c>
      <c r="B21" s="21" t="s">
        <v>153</v>
      </c>
      <c r="C21" s="82"/>
      <c r="D21" s="22"/>
      <c r="E21" s="22"/>
      <c r="F21" s="22"/>
      <c r="G21" s="32" t="e">
        <f t="shared" si="0"/>
        <v>#DIV/0!</v>
      </c>
      <c r="H21" s="342" t="e">
        <f t="shared" si="1"/>
        <v>#DIV/0!</v>
      </c>
    </row>
    <row r="22" spans="1:8" ht="15">
      <c r="A22" s="154">
        <v>6615</v>
      </c>
      <c r="B22" s="72" t="s">
        <v>152</v>
      </c>
      <c r="C22" s="150">
        <f>49775.02+1</f>
        <v>49776.02</v>
      </c>
      <c r="D22" s="23">
        <v>23708</v>
      </c>
      <c r="E22" s="23">
        <v>23708</v>
      </c>
      <c r="F22" s="23">
        <v>19253</v>
      </c>
      <c r="G22" s="160">
        <f t="shared" si="0"/>
        <v>38.679267647353086</v>
      </c>
      <c r="H22" s="161">
        <f t="shared" si="1"/>
        <v>81.20887464147123</v>
      </c>
    </row>
    <row r="23" spans="1:8" ht="15.75" customHeight="1">
      <c r="A23" s="494" t="s">
        <v>42</v>
      </c>
      <c r="B23" s="494"/>
      <c r="C23" s="185">
        <f>+C18+C20</f>
        <v>49776.02</v>
      </c>
      <c r="D23" s="185">
        <f>+D18+D20</f>
        <v>23718</v>
      </c>
      <c r="E23" s="185">
        <f>+E18+E20</f>
        <v>23718</v>
      </c>
      <c r="F23" s="185">
        <f>+F18+F20</f>
        <v>19254</v>
      </c>
      <c r="G23" s="185">
        <f t="shared" si="0"/>
        <v>38.68127664686731</v>
      </c>
      <c r="H23" s="185">
        <f t="shared" si="1"/>
        <v>81.17885150518593</v>
      </c>
    </row>
    <row r="24" spans="1:7" ht="15">
      <c r="A24" s="68"/>
      <c r="B24" s="68"/>
      <c r="C24" s="68"/>
      <c r="D24" s="12"/>
      <c r="E24" s="12"/>
      <c r="F24" s="12"/>
      <c r="G24" s="12"/>
    </row>
    <row r="25" spans="1:7" ht="15">
      <c r="A25" s="4" t="s">
        <v>48</v>
      </c>
      <c r="B25" s="5"/>
      <c r="C25" s="5"/>
      <c r="D25" s="6"/>
      <c r="E25" s="6"/>
      <c r="F25" s="6"/>
      <c r="G25" s="6"/>
    </row>
    <row r="26" spans="1:8" ht="15" customHeight="1">
      <c r="A26" s="468" t="s">
        <v>29</v>
      </c>
      <c r="B26" s="470" t="s">
        <v>3</v>
      </c>
      <c r="C26" s="470" t="s">
        <v>74</v>
      </c>
      <c r="D26" s="465" t="s">
        <v>169</v>
      </c>
      <c r="E26" s="465" t="s">
        <v>170</v>
      </c>
      <c r="F26" s="465" t="s">
        <v>171</v>
      </c>
      <c r="G26" s="465" t="s">
        <v>75</v>
      </c>
      <c r="H26" s="465" t="s">
        <v>75</v>
      </c>
    </row>
    <row r="27" spans="1:8" ht="37.5" customHeight="1">
      <c r="A27" s="469"/>
      <c r="B27" s="471"/>
      <c r="C27" s="471"/>
      <c r="D27" s="466"/>
      <c r="E27" s="466"/>
      <c r="F27" s="466"/>
      <c r="G27" s="466"/>
      <c r="H27" s="466"/>
    </row>
    <row r="28" spans="1:15" s="77" customFormat="1" ht="12">
      <c r="A28" s="473">
        <v>1</v>
      </c>
      <c r="B28" s="473"/>
      <c r="C28" s="73">
        <v>2</v>
      </c>
      <c r="D28" s="74">
        <v>3</v>
      </c>
      <c r="E28" s="74">
        <v>4</v>
      </c>
      <c r="F28" s="74">
        <v>5</v>
      </c>
      <c r="G28" s="74" t="s">
        <v>76</v>
      </c>
      <c r="H28" s="74" t="s">
        <v>77</v>
      </c>
      <c r="I28" s="498"/>
      <c r="J28" s="498"/>
      <c r="K28" s="499"/>
      <c r="L28" s="491"/>
      <c r="M28" s="491"/>
      <c r="N28" s="76" t="s">
        <v>4</v>
      </c>
      <c r="O28" s="76" t="s">
        <v>5</v>
      </c>
    </row>
    <row r="29" spans="1:15" s="15" customFormat="1" ht="15">
      <c r="A29" s="184">
        <v>652</v>
      </c>
      <c r="B29" s="164" t="s">
        <v>49</v>
      </c>
      <c r="C29" s="162">
        <f>SUM(C30,C31)</f>
        <v>159760</v>
      </c>
      <c r="D29" s="162">
        <f>SUM(D30,D31)</f>
        <v>158000</v>
      </c>
      <c r="E29" s="162">
        <f>SUM(E30,E31)</f>
        <v>158000</v>
      </c>
      <c r="F29" s="162">
        <f>SUM(F30,F31)</f>
        <v>152220</v>
      </c>
      <c r="G29" s="186">
        <f>F29/C29*100</f>
        <v>95.28042063094642</v>
      </c>
      <c r="H29" s="187">
        <f>F29/E29*100</f>
        <v>96.34177215189872</v>
      </c>
      <c r="I29" s="498"/>
      <c r="J29" s="498"/>
      <c r="K29" s="499"/>
      <c r="L29" s="491"/>
      <c r="M29" s="491"/>
      <c r="N29" s="16"/>
      <c r="O29" s="16"/>
    </row>
    <row r="30" spans="1:15" s="19" customFormat="1" ht="30">
      <c r="A30" s="65">
        <v>65264</v>
      </c>
      <c r="B30" s="62" t="s">
        <v>50</v>
      </c>
      <c r="C30" s="83">
        <v>159760</v>
      </c>
      <c r="D30" s="63">
        <v>158000</v>
      </c>
      <c r="E30" s="63">
        <v>158000</v>
      </c>
      <c r="F30" s="63">
        <v>152220</v>
      </c>
      <c r="G30" s="32">
        <f>F30/C30*100</f>
        <v>95.28042063094642</v>
      </c>
      <c r="H30" s="342">
        <f>F30/E30*100</f>
        <v>96.34177215189872</v>
      </c>
      <c r="I30" s="12"/>
      <c r="J30" s="12"/>
      <c r="K30" s="17"/>
      <c r="L30" s="17"/>
      <c r="M30" s="12"/>
      <c r="N30" s="18"/>
      <c r="O30" s="18"/>
    </row>
    <row r="31" spans="1:15" s="19" customFormat="1" ht="30">
      <c r="A31" s="337">
        <v>65269</v>
      </c>
      <c r="B31" s="338" t="s">
        <v>154</v>
      </c>
      <c r="C31" s="339"/>
      <c r="D31" s="340"/>
      <c r="E31" s="340"/>
      <c r="F31" s="340"/>
      <c r="G31" s="160" t="e">
        <f>F31/C31*100</f>
        <v>#DIV/0!</v>
      </c>
      <c r="H31" s="161" t="e">
        <f>F31/E31*100</f>
        <v>#DIV/0!</v>
      </c>
      <c r="I31" s="12"/>
      <c r="J31" s="12"/>
      <c r="K31" s="17"/>
      <c r="L31" s="17"/>
      <c r="M31" s="12"/>
      <c r="N31" s="18"/>
      <c r="O31" s="18"/>
    </row>
    <row r="32" spans="1:16" ht="14.25" customHeight="1">
      <c r="A32" s="495" t="s">
        <v>73</v>
      </c>
      <c r="B32" s="496"/>
      <c r="C32" s="185">
        <f>C29</f>
        <v>159760</v>
      </c>
      <c r="D32" s="185">
        <f>D29</f>
        <v>158000</v>
      </c>
      <c r="E32" s="185">
        <f>E29</f>
        <v>158000</v>
      </c>
      <c r="F32" s="185">
        <f>F29</f>
        <v>152220</v>
      </c>
      <c r="G32" s="185">
        <f>F32/C32*100</f>
        <v>95.28042063094642</v>
      </c>
      <c r="H32" s="185">
        <f>F32/E32*100</f>
        <v>96.34177215189872</v>
      </c>
      <c r="I32" s="23"/>
      <c r="J32" s="23"/>
      <c r="K32" s="24"/>
      <c r="L32" s="24"/>
      <c r="M32" s="23"/>
      <c r="N32" s="3">
        <v>0</v>
      </c>
      <c r="O32" s="3">
        <v>0</v>
      </c>
      <c r="P32" s="19"/>
    </row>
    <row r="33" spans="1:16" ht="15">
      <c r="A33" s="68"/>
      <c r="B33" s="68"/>
      <c r="C33" s="68"/>
      <c r="D33" s="12"/>
      <c r="E33" s="12"/>
      <c r="F33" s="12"/>
      <c r="G33" s="12"/>
      <c r="I33" s="23"/>
      <c r="J33" s="23"/>
      <c r="K33" s="24"/>
      <c r="L33" s="24"/>
      <c r="M33" s="23"/>
      <c r="N33" s="3">
        <v>0</v>
      </c>
      <c r="O33" s="3">
        <v>0</v>
      </c>
      <c r="P33" s="19"/>
    </row>
    <row r="34" spans="1:16" s="13" customFormat="1" ht="15">
      <c r="A34" s="13" t="s">
        <v>33</v>
      </c>
      <c r="B34" s="3"/>
      <c r="C34" s="3"/>
      <c r="D34" s="14"/>
      <c r="E34" s="14"/>
      <c r="F34" s="14"/>
      <c r="G34" s="14"/>
      <c r="H34" s="3"/>
      <c r="I34" s="12"/>
      <c r="J34" s="12"/>
      <c r="K34" s="12"/>
      <c r="L34" s="12"/>
      <c r="M34" s="12"/>
      <c r="P34" s="19"/>
    </row>
    <row r="35" spans="1:16" s="13" customFormat="1" ht="15" customHeight="1">
      <c r="A35" s="468" t="s">
        <v>29</v>
      </c>
      <c r="B35" s="470" t="s">
        <v>3</v>
      </c>
      <c r="C35" s="470" t="s">
        <v>74</v>
      </c>
      <c r="D35" s="465" t="s">
        <v>169</v>
      </c>
      <c r="E35" s="465" t="s">
        <v>170</v>
      </c>
      <c r="F35" s="465" t="s">
        <v>171</v>
      </c>
      <c r="G35" s="465" t="s">
        <v>75</v>
      </c>
      <c r="H35" s="465" t="s">
        <v>75</v>
      </c>
      <c r="I35" s="12"/>
      <c r="J35" s="12"/>
      <c r="K35" s="12"/>
      <c r="L35" s="12"/>
      <c r="M35" s="12"/>
      <c r="P35" s="19"/>
    </row>
    <row r="36" spans="1:16" s="13" customFormat="1" ht="27.75" customHeight="1">
      <c r="A36" s="469"/>
      <c r="B36" s="471"/>
      <c r="C36" s="471"/>
      <c r="D36" s="466"/>
      <c r="E36" s="466"/>
      <c r="F36" s="466"/>
      <c r="G36" s="466"/>
      <c r="H36" s="466"/>
      <c r="I36" s="12"/>
      <c r="J36" s="12"/>
      <c r="K36" s="12"/>
      <c r="L36" s="12"/>
      <c r="M36" s="12"/>
      <c r="P36" s="19"/>
    </row>
    <row r="37" spans="1:16" s="79" customFormat="1" ht="12">
      <c r="A37" s="473">
        <v>1</v>
      </c>
      <c r="B37" s="473"/>
      <c r="C37" s="73">
        <v>2</v>
      </c>
      <c r="D37" s="74">
        <v>3</v>
      </c>
      <c r="E37" s="74">
        <v>4</v>
      </c>
      <c r="F37" s="74">
        <v>5</v>
      </c>
      <c r="G37" s="74" t="s">
        <v>76</v>
      </c>
      <c r="H37" s="74" t="s">
        <v>77</v>
      </c>
      <c r="I37" s="78"/>
      <c r="J37" s="78"/>
      <c r="K37" s="78"/>
      <c r="L37" s="78"/>
      <c r="M37" s="78"/>
      <c r="P37" s="80"/>
    </row>
    <row r="38" spans="1:8" ht="30">
      <c r="A38" s="184">
        <v>63</v>
      </c>
      <c r="B38" s="164" t="s">
        <v>34</v>
      </c>
      <c r="C38" s="162">
        <f>SUM(C39,C42,C45)</f>
        <v>12849764.67</v>
      </c>
      <c r="D38" s="162">
        <f>SUM(D39,D42,D45)</f>
        <v>12756905.32</v>
      </c>
      <c r="E38" s="162">
        <f>SUM(E39,E42,E45)</f>
        <v>12756905.32</v>
      </c>
      <c r="F38" s="162">
        <f>SUM(F39,F42,F45)</f>
        <v>13410880.200000001</v>
      </c>
      <c r="G38" s="186">
        <f aca="true" t="shared" si="2" ref="G38:G47">F38/C38*100</f>
        <v>104.36673779178247</v>
      </c>
      <c r="H38" s="187">
        <f aca="true" t="shared" si="3" ref="H38:H47">F38/E38*100</f>
        <v>105.12643829828158</v>
      </c>
    </row>
    <row r="39" spans="1:8" ht="15">
      <c r="A39" s="184">
        <v>633</v>
      </c>
      <c r="B39" s="164" t="s">
        <v>128</v>
      </c>
      <c r="C39" s="162">
        <f>SUM(C40:C41)</f>
        <v>0</v>
      </c>
      <c r="D39" s="162">
        <f>SUM(D40:D41)</f>
        <v>0</v>
      </c>
      <c r="E39" s="162">
        <f>SUM(E40:E41)</f>
        <v>0</v>
      </c>
      <c r="F39" s="162">
        <f>SUM(F40:F41)</f>
        <v>0</v>
      </c>
      <c r="G39" s="163" t="e">
        <f t="shared" si="2"/>
        <v>#DIV/0!</v>
      </c>
      <c r="H39" s="387" t="e">
        <f t="shared" si="3"/>
        <v>#DIV/0!</v>
      </c>
    </row>
    <row r="40" spans="1:8" ht="15">
      <c r="A40" s="7">
        <v>6331</v>
      </c>
      <c r="B40" s="8" t="s">
        <v>147</v>
      </c>
      <c r="C40" s="155"/>
      <c r="D40" s="61"/>
      <c r="E40" s="61"/>
      <c r="F40" s="61"/>
      <c r="G40" s="32" t="e">
        <f t="shared" si="2"/>
        <v>#DIV/0!</v>
      </c>
      <c r="H40" s="342" t="e">
        <f t="shared" si="3"/>
        <v>#DIV/0!</v>
      </c>
    </row>
    <row r="41" spans="1:8" ht="29.25" customHeight="1">
      <c r="A41" s="20">
        <v>634</v>
      </c>
      <c r="B41" s="21" t="s">
        <v>30</v>
      </c>
      <c r="C41" s="82"/>
      <c r="D41" s="22"/>
      <c r="E41" s="22"/>
      <c r="F41" s="22"/>
      <c r="G41" s="32" t="e">
        <f t="shared" si="2"/>
        <v>#DIV/0!</v>
      </c>
      <c r="H41" s="342" t="e">
        <f t="shared" si="3"/>
        <v>#DIV/0!</v>
      </c>
    </row>
    <row r="42" spans="1:8" ht="30">
      <c r="A42" s="188">
        <v>636</v>
      </c>
      <c r="B42" s="189" t="s">
        <v>54</v>
      </c>
      <c r="C42" s="278">
        <f>SUM(C43:C44)</f>
        <v>12849764.67</v>
      </c>
      <c r="D42" s="278">
        <f>SUM(D43:D44)</f>
        <v>12756905.32</v>
      </c>
      <c r="E42" s="278">
        <f>SUM(E43:E44)</f>
        <v>12756905.32</v>
      </c>
      <c r="F42" s="278">
        <f>SUM(F43:F44)</f>
        <v>13410880.200000001</v>
      </c>
      <c r="G42" s="163">
        <f t="shared" si="2"/>
        <v>104.36673779178247</v>
      </c>
      <c r="H42" s="387">
        <f t="shared" si="3"/>
        <v>105.12643829828158</v>
      </c>
    </row>
    <row r="43" spans="1:8" ht="30">
      <c r="A43" s="65">
        <v>6361</v>
      </c>
      <c r="B43" s="62" t="s">
        <v>148</v>
      </c>
      <c r="C43" s="83">
        <f>12705788.69+1</f>
        <v>12705789.69</v>
      </c>
      <c r="D43" s="63">
        <v>12752405.32</v>
      </c>
      <c r="E43" s="63">
        <f>+D43</f>
        <v>12752405.32</v>
      </c>
      <c r="F43" s="63">
        <v>13400883.71</v>
      </c>
      <c r="G43" s="32">
        <f t="shared" si="2"/>
        <v>105.47068727689606</v>
      </c>
      <c r="H43" s="342">
        <f t="shared" si="3"/>
        <v>105.08514569391056</v>
      </c>
    </row>
    <row r="44" spans="1:8" ht="30">
      <c r="A44" s="354">
        <v>6362</v>
      </c>
      <c r="B44" s="355" t="s">
        <v>151</v>
      </c>
      <c r="C44" s="356">
        <v>143974.98</v>
      </c>
      <c r="D44" s="357">
        <v>4500</v>
      </c>
      <c r="E44" s="357">
        <f>+D44</f>
        <v>4500</v>
      </c>
      <c r="F44" s="357">
        <v>9996.49</v>
      </c>
      <c r="G44" s="32">
        <f t="shared" si="2"/>
        <v>6.943213327760142</v>
      </c>
      <c r="H44" s="342">
        <f t="shared" si="3"/>
        <v>222.1442222222222</v>
      </c>
    </row>
    <row r="45" spans="1:8" ht="15">
      <c r="A45" s="190">
        <v>638</v>
      </c>
      <c r="B45" s="191" t="s">
        <v>149</v>
      </c>
      <c r="C45" s="192">
        <f>SUM(C46)</f>
        <v>0</v>
      </c>
      <c r="D45" s="192">
        <f>SUM(D46)</f>
        <v>0</v>
      </c>
      <c r="E45" s="192">
        <f>SUM(E46)</f>
        <v>0</v>
      </c>
      <c r="F45" s="192">
        <f>SUM(F46)</f>
        <v>0</v>
      </c>
      <c r="G45" s="163" t="e">
        <f t="shared" si="2"/>
        <v>#DIV/0!</v>
      </c>
      <c r="H45" s="387" t="e">
        <f t="shared" si="3"/>
        <v>#DIV/0!</v>
      </c>
    </row>
    <row r="46" spans="1:8" ht="15">
      <c r="A46" s="337">
        <v>6381</v>
      </c>
      <c r="B46" s="338" t="s">
        <v>150</v>
      </c>
      <c r="C46" s="339"/>
      <c r="D46" s="340"/>
      <c r="E46" s="340"/>
      <c r="F46" s="340"/>
      <c r="G46" s="160" t="e">
        <f t="shared" si="2"/>
        <v>#DIV/0!</v>
      </c>
      <c r="H46" s="161" t="e">
        <f t="shared" si="3"/>
        <v>#DIV/0!</v>
      </c>
    </row>
    <row r="47" spans="1:8" ht="15">
      <c r="A47" s="492" t="s">
        <v>35</v>
      </c>
      <c r="B47" s="493"/>
      <c r="C47" s="185">
        <f>C38</f>
        <v>12849764.67</v>
      </c>
      <c r="D47" s="185">
        <f>D38</f>
        <v>12756905.32</v>
      </c>
      <c r="E47" s="185">
        <f>E38</f>
        <v>12756905.32</v>
      </c>
      <c r="F47" s="185">
        <f>F38</f>
        <v>13410880.200000001</v>
      </c>
      <c r="G47" s="185">
        <f t="shared" si="2"/>
        <v>104.36673779178247</v>
      </c>
      <c r="H47" s="185">
        <f t="shared" si="3"/>
        <v>105.12643829828158</v>
      </c>
    </row>
    <row r="48" spans="1:8" s="300" customFormat="1" ht="15">
      <c r="A48" s="299"/>
      <c r="B48" s="299"/>
      <c r="C48" s="17"/>
      <c r="D48" s="17"/>
      <c r="E48" s="17"/>
      <c r="F48" s="17"/>
      <c r="G48" s="17"/>
      <c r="H48" s="430"/>
    </row>
    <row r="49" spans="1:7" ht="15">
      <c r="A49" s="4" t="s">
        <v>209</v>
      </c>
      <c r="B49" s="5"/>
      <c r="C49" s="5"/>
      <c r="D49" s="6"/>
      <c r="E49" s="6"/>
      <c r="F49" s="6"/>
      <c r="G49" s="6"/>
    </row>
    <row r="50" spans="1:8" ht="15" customHeight="1">
      <c r="A50" s="468" t="s">
        <v>29</v>
      </c>
      <c r="B50" s="470" t="s">
        <v>3</v>
      </c>
      <c r="C50" s="470" t="s">
        <v>74</v>
      </c>
      <c r="D50" s="465" t="s">
        <v>169</v>
      </c>
      <c r="E50" s="465" t="s">
        <v>170</v>
      </c>
      <c r="F50" s="465" t="s">
        <v>171</v>
      </c>
      <c r="G50" s="465" t="s">
        <v>75</v>
      </c>
      <c r="H50" s="465" t="s">
        <v>75</v>
      </c>
    </row>
    <row r="51" spans="1:8" ht="37.5" customHeight="1">
      <c r="A51" s="469"/>
      <c r="B51" s="471"/>
      <c r="C51" s="471"/>
      <c r="D51" s="466"/>
      <c r="E51" s="466"/>
      <c r="F51" s="466"/>
      <c r="G51" s="466"/>
      <c r="H51" s="466"/>
    </row>
    <row r="52" spans="1:15" s="77" customFormat="1" ht="12">
      <c r="A52" s="473">
        <v>1</v>
      </c>
      <c r="B52" s="473"/>
      <c r="C52" s="73">
        <v>2</v>
      </c>
      <c r="D52" s="74">
        <v>3</v>
      </c>
      <c r="E52" s="74">
        <v>4</v>
      </c>
      <c r="F52" s="74">
        <v>5</v>
      </c>
      <c r="G52" s="74" t="s">
        <v>76</v>
      </c>
      <c r="H52" s="74" t="s">
        <v>77</v>
      </c>
      <c r="I52" s="498"/>
      <c r="J52" s="498"/>
      <c r="K52" s="499"/>
      <c r="L52" s="491"/>
      <c r="M52" s="491"/>
      <c r="N52" s="76" t="s">
        <v>4</v>
      </c>
      <c r="O52" s="76" t="s">
        <v>5</v>
      </c>
    </row>
    <row r="53" spans="1:15" s="15" customFormat="1" ht="45">
      <c r="A53" s="297">
        <v>663</v>
      </c>
      <c r="B53" s="304" t="s">
        <v>213</v>
      </c>
      <c r="C53" s="298">
        <f>+C54+C55</f>
        <v>4246</v>
      </c>
      <c r="D53" s="298">
        <f>+D54+D55</f>
        <v>12494</v>
      </c>
      <c r="E53" s="298">
        <f>+E54+E55</f>
        <v>12494</v>
      </c>
      <c r="F53" s="298">
        <f>+F54+F55</f>
        <v>12494</v>
      </c>
      <c r="G53" s="186">
        <f>F53/C53*100</f>
        <v>294.2534149788036</v>
      </c>
      <c r="H53" s="187">
        <f>F53/E53*100</f>
        <v>100</v>
      </c>
      <c r="I53" s="498"/>
      <c r="J53" s="498"/>
      <c r="K53" s="499"/>
      <c r="L53" s="491"/>
      <c r="M53" s="491"/>
      <c r="N53" s="16"/>
      <c r="O53" s="16"/>
    </row>
    <row r="54" spans="1:15" s="19" customFormat="1" ht="15">
      <c r="A54" s="302">
        <v>66312</v>
      </c>
      <c r="B54" s="305" t="s">
        <v>214</v>
      </c>
      <c r="C54" s="303">
        <v>850</v>
      </c>
      <c r="D54" s="63">
        <v>8500</v>
      </c>
      <c r="E54" s="63">
        <f>+D54</f>
        <v>8500</v>
      </c>
      <c r="F54" s="63">
        <v>8500</v>
      </c>
      <c r="G54" s="160">
        <f>F54/C54*100</f>
        <v>1000</v>
      </c>
      <c r="H54" s="161">
        <f>F54/E54*100</f>
        <v>100</v>
      </c>
      <c r="I54" s="12"/>
      <c r="J54" s="12"/>
      <c r="K54" s="17"/>
      <c r="L54" s="17"/>
      <c r="M54" s="12"/>
      <c r="N54" s="18"/>
      <c r="O54" s="18"/>
    </row>
    <row r="55" spans="1:15" s="19" customFormat="1" ht="15">
      <c r="A55" s="154">
        <v>66313</v>
      </c>
      <c r="B55" s="448" t="s">
        <v>215</v>
      </c>
      <c r="C55" s="358">
        <v>3396</v>
      </c>
      <c r="D55" s="340">
        <v>3994</v>
      </c>
      <c r="E55" s="340">
        <f>+D55</f>
        <v>3994</v>
      </c>
      <c r="F55" s="359">
        <v>3994</v>
      </c>
      <c r="G55" s="341">
        <f>F55/C55*100</f>
        <v>117.60895170789163</v>
      </c>
      <c r="H55" s="360">
        <f>F55/E55*100</f>
        <v>100</v>
      </c>
      <c r="I55" s="12"/>
      <c r="J55" s="12"/>
      <c r="K55" s="17"/>
      <c r="L55" s="17"/>
      <c r="M55" s="12"/>
      <c r="N55" s="18"/>
      <c r="O55" s="18"/>
    </row>
    <row r="56" spans="1:16" ht="14.25" customHeight="1">
      <c r="A56" s="495" t="s">
        <v>210</v>
      </c>
      <c r="B56" s="496"/>
      <c r="C56" s="185">
        <f>C53</f>
        <v>4246</v>
      </c>
      <c r="D56" s="185">
        <f>D53</f>
        <v>12494</v>
      </c>
      <c r="E56" s="185">
        <f>E53</f>
        <v>12494</v>
      </c>
      <c r="F56" s="185">
        <f>F53</f>
        <v>12494</v>
      </c>
      <c r="G56" s="185">
        <f>F56/C56*100</f>
        <v>294.2534149788036</v>
      </c>
      <c r="H56" s="185">
        <f>F56/E56*100</f>
        <v>100</v>
      </c>
      <c r="I56" s="23"/>
      <c r="J56" s="23"/>
      <c r="K56" s="24"/>
      <c r="L56" s="24"/>
      <c r="M56" s="23"/>
      <c r="N56" s="3">
        <v>0</v>
      </c>
      <c r="O56" s="3">
        <v>0</v>
      </c>
      <c r="P56" s="19"/>
    </row>
    <row r="57" spans="1:8" s="300" customFormat="1" ht="15">
      <c r="A57" s="299"/>
      <c r="B57" s="299"/>
      <c r="C57" s="17"/>
      <c r="D57" s="17"/>
      <c r="E57" s="17"/>
      <c r="F57" s="17"/>
      <c r="G57" s="17"/>
      <c r="H57" s="430"/>
    </row>
    <row r="58" spans="1:7" ht="15">
      <c r="A58" s="36" t="s">
        <v>201</v>
      </c>
      <c r="B58" s="5"/>
      <c r="C58" s="5"/>
      <c r="D58" s="6"/>
      <c r="E58" s="6"/>
      <c r="F58" s="6"/>
      <c r="G58" s="6"/>
    </row>
    <row r="59" spans="1:8" ht="15" customHeight="1">
      <c r="A59" s="468" t="s">
        <v>29</v>
      </c>
      <c r="B59" s="470" t="s">
        <v>3</v>
      </c>
      <c r="C59" s="470" t="s">
        <v>74</v>
      </c>
      <c r="D59" s="465" t="s">
        <v>169</v>
      </c>
      <c r="E59" s="465" t="s">
        <v>170</v>
      </c>
      <c r="F59" s="465" t="s">
        <v>171</v>
      </c>
      <c r="G59" s="465" t="s">
        <v>75</v>
      </c>
      <c r="H59" s="465" t="s">
        <v>75</v>
      </c>
    </row>
    <row r="60" spans="1:8" ht="37.5" customHeight="1">
      <c r="A60" s="469"/>
      <c r="B60" s="471"/>
      <c r="C60" s="471"/>
      <c r="D60" s="466"/>
      <c r="E60" s="466"/>
      <c r="F60" s="466"/>
      <c r="G60" s="466"/>
      <c r="H60" s="466"/>
    </row>
    <row r="61" spans="1:15" s="77" customFormat="1" ht="12">
      <c r="A61" s="473">
        <v>1</v>
      </c>
      <c r="B61" s="467"/>
      <c r="C61" s="73">
        <v>2</v>
      </c>
      <c r="D61" s="74">
        <v>3</v>
      </c>
      <c r="E61" s="74">
        <v>4</v>
      </c>
      <c r="F61" s="74">
        <v>5</v>
      </c>
      <c r="G61" s="74" t="s">
        <v>76</v>
      </c>
      <c r="H61" s="74" t="s">
        <v>77</v>
      </c>
      <c r="I61" s="498"/>
      <c r="J61" s="498"/>
      <c r="K61" s="499"/>
      <c r="L61" s="491"/>
      <c r="M61" s="491"/>
      <c r="N61" s="76" t="s">
        <v>4</v>
      </c>
      <c r="O61" s="76" t="s">
        <v>5</v>
      </c>
    </row>
    <row r="62" spans="1:15" s="15" customFormat="1" ht="15">
      <c r="A62" s="297">
        <v>721</v>
      </c>
      <c r="B62" s="301" t="s">
        <v>212</v>
      </c>
      <c r="C62" s="298">
        <f>+C63</f>
        <v>877.8</v>
      </c>
      <c r="D62" s="162">
        <f>+D63</f>
        <v>1465.8</v>
      </c>
      <c r="E62" s="162">
        <f>+E63</f>
        <v>1465.8</v>
      </c>
      <c r="F62" s="162">
        <f>+F63</f>
        <v>1129.8</v>
      </c>
      <c r="G62" s="186">
        <f>F62/C62*100</f>
        <v>128.70813397129186</v>
      </c>
      <c r="H62" s="187">
        <f>F62/E62*100</f>
        <v>77.07736389684814</v>
      </c>
      <c r="I62" s="498"/>
      <c r="J62" s="498"/>
      <c r="K62" s="499"/>
      <c r="L62" s="491"/>
      <c r="M62" s="491"/>
      <c r="N62" s="16"/>
      <c r="O62" s="16"/>
    </row>
    <row r="63" spans="1:15" s="19" customFormat="1" ht="15">
      <c r="A63" s="65">
        <v>72119</v>
      </c>
      <c r="B63" s="285" t="s">
        <v>178</v>
      </c>
      <c r="C63" s="83">
        <v>877.8</v>
      </c>
      <c r="D63" s="63">
        <v>1465.8</v>
      </c>
      <c r="E63" s="63">
        <f>+D63</f>
        <v>1465.8</v>
      </c>
      <c r="F63" s="63">
        <v>1129.8</v>
      </c>
      <c r="G63" s="341">
        <f>F63/C63*100</f>
        <v>128.70813397129186</v>
      </c>
      <c r="H63" s="360">
        <f>F63/E63*100</f>
        <v>77.07736389684814</v>
      </c>
      <c r="I63" s="12"/>
      <c r="J63" s="12"/>
      <c r="K63" s="17"/>
      <c r="L63" s="17"/>
      <c r="M63" s="12"/>
      <c r="N63" s="18"/>
      <c r="O63" s="18"/>
    </row>
    <row r="64" spans="1:16" ht="31.5" customHeight="1">
      <c r="A64" s="501" t="s">
        <v>211</v>
      </c>
      <c r="B64" s="502"/>
      <c r="C64" s="185">
        <f>C62</f>
        <v>877.8</v>
      </c>
      <c r="D64" s="185">
        <f>D62</f>
        <v>1465.8</v>
      </c>
      <c r="E64" s="185">
        <f>E62</f>
        <v>1465.8</v>
      </c>
      <c r="F64" s="185">
        <f>F62</f>
        <v>1129.8</v>
      </c>
      <c r="G64" s="185">
        <f>F64/C64*100</f>
        <v>128.70813397129186</v>
      </c>
      <c r="H64" s="185">
        <f>F64/E64*100</f>
        <v>77.07736389684814</v>
      </c>
      <c r="I64" s="23"/>
      <c r="J64" s="23"/>
      <c r="K64" s="24"/>
      <c r="L64" s="24"/>
      <c r="M64" s="23"/>
      <c r="N64" s="3">
        <v>0</v>
      </c>
      <c r="O64" s="3">
        <v>0</v>
      </c>
      <c r="P64" s="19"/>
    </row>
    <row r="65" spans="1:8" s="300" customFormat="1" ht="15">
      <c r="A65" s="299"/>
      <c r="B65" s="299"/>
      <c r="C65" s="17"/>
      <c r="D65" s="17"/>
      <c r="E65" s="17"/>
      <c r="F65" s="17"/>
      <c r="G65" s="17"/>
      <c r="H65" s="430"/>
    </row>
    <row r="66" spans="1:8" ht="15">
      <c r="A66" s="101"/>
      <c r="B66" s="101"/>
      <c r="C66" s="12"/>
      <c r="D66" s="12"/>
      <c r="E66" s="12"/>
      <c r="F66" s="12"/>
      <c r="G66" s="449"/>
      <c r="H66" s="449"/>
    </row>
    <row r="67" spans="1:8" s="50" customFormat="1" ht="19.5">
      <c r="A67" s="489" t="s">
        <v>115</v>
      </c>
      <c r="B67" s="489"/>
      <c r="C67" s="193">
        <f>SUM(C12,C23,C32,C47)+C56+C64</f>
        <v>14244267.780000001</v>
      </c>
      <c r="D67" s="193">
        <f>SUM(D12,D23,D32,D47)+D56+D64</f>
        <v>13955875.260000002</v>
      </c>
      <c r="E67" s="193">
        <f>SUM(E12,E23,E32,E47)+E56+E64</f>
        <v>13980562.760000002</v>
      </c>
      <c r="F67" s="193">
        <f>+F64+F56+F47+F32+F23+F12</f>
        <v>14619680.880000003</v>
      </c>
      <c r="G67" s="185">
        <f>F67/C67*100</f>
        <v>102.63553806905476</v>
      </c>
      <c r="H67" s="185">
        <f>F67/E67*100</f>
        <v>104.57147634878183</v>
      </c>
    </row>
    <row r="68" spans="1:8" ht="15">
      <c r="A68" s="11"/>
      <c r="B68" s="11"/>
      <c r="C68" s="102"/>
      <c r="D68" s="102"/>
      <c r="E68" s="102"/>
      <c r="F68" s="102"/>
      <c r="G68" s="12"/>
      <c r="H68" s="12"/>
    </row>
    <row r="69" spans="1:8" ht="20.25">
      <c r="A69" s="513" t="s">
        <v>116</v>
      </c>
      <c r="B69" s="513"/>
      <c r="C69" s="513"/>
      <c r="D69" s="513"/>
      <c r="E69" s="513"/>
      <c r="F69" s="513"/>
      <c r="G69" s="513"/>
      <c r="H69" s="513"/>
    </row>
    <row r="70" spans="1:8" ht="18.75">
      <c r="A70" s="104"/>
      <c r="B70" s="104"/>
      <c r="C70" s="104"/>
      <c r="D70" s="104"/>
      <c r="E70" s="104"/>
      <c r="F70" s="104"/>
      <c r="G70" s="104"/>
      <c r="H70" s="104"/>
    </row>
    <row r="71" spans="1:8" ht="13.5" customHeight="1">
      <c r="A71" s="468" t="s">
        <v>29</v>
      </c>
      <c r="B71" s="470" t="s">
        <v>3</v>
      </c>
      <c r="C71" s="470" t="s">
        <v>74</v>
      </c>
      <c r="D71" s="465" t="s">
        <v>169</v>
      </c>
      <c r="E71" s="465" t="s">
        <v>170</v>
      </c>
      <c r="F71" s="465" t="s">
        <v>171</v>
      </c>
      <c r="G71" s="465" t="s">
        <v>75</v>
      </c>
      <c r="H71" s="465" t="s">
        <v>75</v>
      </c>
    </row>
    <row r="72" spans="1:8" ht="15">
      <c r="A72" s="469"/>
      <c r="B72" s="471"/>
      <c r="C72" s="471"/>
      <c r="D72" s="466"/>
      <c r="E72" s="466"/>
      <c r="F72" s="466"/>
      <c r="G72" s="466"/>
      <c r="H72" s="466"/>
    </row>
    <row r="73" spans="1:8" ht="13.5" customHeight="1">
      <c r="A73" s="473">
        <v>1</v>
      </c>
      <c r="B73" s="473"/>
      <c r="C73" s="73">
        <v>2</v>
      </c>
      <c r="D73" s="74">
        <v>3</v>
      </c>
      <c r="E73" s="74">
        <v>4</v>
      </c>
      <c r="F73" s="74">
        <v>5</v>
      </c>
      <c r="G73" s="74" t="s">
        <v>76</v>
      </c>
      <c r="H73" s="74" t="s">
        <v>77</v>
      </c>
    </row>
    <row r="74" spans="1:8" ht="15">
      <c r="A74" s="126">
        <v>1</v>
      </c>
      <c r="B74" s="127" t="s">
        <v>0</v>
      </c>
      <c r="C74" s="128">
        <f>SUM(C12)</f>
        <v>1179843.29</v>
      </c>
      <c r="D74" s="128">
        <f>SUM(D12)</f>
        <v>1003292.14</v>
      </c>
      <c r="E74" s="128">
        <f>SUM(E12)</f>
        <v>1027979.64</v>
      </c>
      <c r="F74" s="128">
        <f>SUM(F12)</f>
        <v>1023702.88</v>
      </c>
      <c r="G74" s="160">
        <f aca="true" t="shared" si="4" ref="G74:G80">F74/C74*100</f>
        <v>86.7660043224893</v>
      </c>
      <c r="H74" s="161">
        <f aca="true" t="shared" si="5" ref="H74:H80">F74/E74*100</f>
        <v>99.58396452287712</v>
      </c>
    </row>
    <row r="75" spans="1:8" ht="15">
      <c r="A75" s="125">
        <v>3</v>
      </c>
      <c r="B75" s="119" t="s">
        <v>117</v>
      </c>
      <c r="C75" s="120">
        <f>SUM(C23)</f>
        <v>49776.02</v>
      </c>
      <c r="D75" s="120">
        <f>SUM(D23)</f>
        <v>23718</v>
      </c>
      <c r="E75" s="120">
        <f>SUM(E23)</f>
        <v>23718</v>
      </c>
      <c r="F75" s="120">
        <f>SUM(F23)</f>
        <v>19254</v>
      </c>
      <c r="G75" s="32">
        <f t="shared" si="4"/>
        <v>38.68127664686731</v>
      </c>
      <c r="H75" s="342">
        <f t="shared" si="5"/>
        <v>81.17885150518593</v>
      </c>
    </row>
    <row r="76" spans="1:10" ht="15">
      <c r="A76" s="125">
        <v>4</v>
      </c>
      <c r="B76" s="119" t="s">
        <v>64</v>
      </c>
      <c r="C76" s="120">
        <f>SUM(C32)</f>
        <v>159760</v>
      </c>
      <c r="D76" s="120">
        <f>SUM(D32)</f>
        <v>158000</v>
      </c>
      <c r="E76" s="120">
        <f>SUM(E32)</f>
        <v>158000</v>
      </c>
      <c r="F76" s="120">
        <f>SUM(F32)</f>
        <v>152220</v>
      </c>
      <c r="G76" s="32">
        <f t="shared" si="4"/>
        <v>95.28042063094642</v>
      </c>
      <c r="H76" s="342">
        <f t="shared" si="5"/>
        <v>96.34177215189872</v>
      </c>
      <c r="J76" s="300"/>
    </row>
    <row r="77" spans="1:8" ht="15">
      <c r="A77" s="310">
        <v>5</v>
      </c>
      <c r="B77" s="311" t="s">
        <v>2</v>
      </c>
      <c r="C77" s="312">
        <f>SUM(C47)</f>
        <v>12849764.67</v>
      </c>
      <c r="D77" s="312">
        <f>SUM(D47)</f>
        <v>12756905.32</v>
      </c>
      <c r="E77" s="312">
        <f>SUM(E47)</f>
        <v>12756905.32</v>
      </c>
      <c r="F77" s="312">
        <f>SUM(F47)</f>
        <v>13410880.200000001</v>
      </c>
      <c r="G77" s="32">
        <f t="shared" si="4"/>
        <v>104.36673779178247</v>
      </c>
      <c r="H77" s="342">
        <f t="shared" si="5"/>
        <v>105.12643829828158</v>
      </c>
    </row>
    <row r="78" spans="1:8" ht="15">
      <c r="A78" s="310">
        <v>6</v>
      </c>
      <c r="B78" s="311" t="s">
        <v>205</v>
      </c>
      <c r="C78" s="312">
        <f>+C56</f>
        <v>4246</v>
      </c>
      <c r="D78" s="312">
        <f>+D56</f>
        <v>12494</v>
      </c>
      <c r="E78" s="312">
        <f>+E56</f>
        <v>12494</v>
      </c>
      <c r="F78" s="312">
        <f>+F56</f>
        <v>12494</v>
      </c>
      <c r="G78" s="32">
        <f t="shared" si="4"/>
        <v>294.2534149788036</v>
      </c>
      <c r="H78" s="342">
        <f t="shared" si="5"/>
        <v>100</v>
      </c>
    </row>
    <row r="79" spans="1:8" ht="30">
      <c r="A79" s="450">
        <v>7</v>
      </c>
      <c r="B79" s="451" t="s">
        <v>207</v>
      </c>
      <c r="C79" s="452">
        <f>+C64</f>
        <v>877.8</v>
      </c>
      <c r="D79" s="452">
        <f>+D64</f>
        <v>1465.8</v>
      </c>
      <c r="E79" s="452">
        <f>+E64</f>
        <v>1465.8</v>
      </c>
      <c r="F79" s="452">
        <f>+F64</f>
        <v>1129.8</v>
      </c>
      <c r="G79" s="341">
        <f t="shared" si="4"/>
        <v>128.70813397129186</v>
      </c>
      <c r="H79" s="360">
        <f t="shared" si="5"/>
        <v>77.07736389684814</v>
      </c>
    </row>
    <row r="80" spans="1:8" ht="15">
      <c r="A80" s="247"/>
      <c r="B80" s="308" t="s">
        <v>217</v>
      </c>
      <c r="C80" s="361">
        <f>SUM(C74:C79)</f>
        <v>14244267.780000001</v>
      </c>
      <c r="D80" s="362">
        <f>SUM(D74:D79)</f>
        <v>13955875.260000002</v>
      </c>
      <c r="E80" s="362">
        <f>SUM(E74:E79)</f>
        <v>13980562.760000002</v>
      </c>
      <c r="F80" s="309">
        <f>SUM(F74:F79)</f>
        <v>14619680.880000003</v>
      </c>
      <c r="G80" s="313">
        <f t="shared" si="4"/>
        <v>102.63553806905476</v>
      </c>
      <c r="H80" s="314">
        <f t="shared" si="5"/>
        <v>104.57147634878183</v>
      </c>
    </row>
    <row r="81" spans="1:8" ht="15">
      <c r="A81" s="11"/>
      <c r="B81" s="11"/>
      <c r="C81" s="102"/>
      <c r="D81" s="102"/>
      <c r="E81" s="102"/>
      <c r="F81" s="102"/>
      <c r="G81" s="12"/>
      <c r="H81" s="12"/>
    </row>
    <row r="82" spans="1:8" ht="20.25">
      <c r="A82" s="497" t="s">
        <v>71</v>
      </c>
      <c r="B82" s="497"/>
      <c r="C82" s="497"/>
      <c r="D82" s="497"/>
      <c r="E82" s="497"/>
      <c r="F82" s="497"/>
      <c r="G82" s="497"/>
      <c r="H82" s="12"/>
    </row>
    <row r="83" spans="1:8" ht="15.75" customHeight="1">
      <c r="A83" s="11"/>
      <c r="B83" s="11"/>
      <c r="C83" s="11"/>
      <c r="D83" s="11"/>
      <c r="E83" s="11"/>
      <c r="F83" s="11"/>
      <c r="G83" s="11"/>
      <c r="H83" s="12"/>
    </row>
    <row r="84" spans="1:7" s="85" customFormat="1" ht="15">
      <c r="A84" s="196" t="s">
        <v>45</v>
      </c>
      <c r="B84" s="197"/>
      <c r="C84" s="88"/>
      <c r="D84" s="89"/>
      <c r="E84" s="89"/>
      <c r="F84" s="89"/>
      <c r="G84" s="89"/>
    </row>
    <row r="85" spans="1:8" ht="13.5" customHeight="1">
      <c r="A85" s="468" t="s">
        <v>29</v>
      </c>
      <c r="B85" s="470" t="s">
        <v>3</v>
      </c>
      <c r="C85" s="470" t="s">
        <v>74</v>
      </c>
      <c r="D85" s="465" t="s">
        <v>169</v>
      </c>
      <c r="E85" s="465" t="s">
        <v>170</v>
      </c>
      <c r="F85" s="465" t="s">
        <v>171</v>
      </c>
      <c r="G85" s="465" t="s">
        <v>75</v>
      </c>
      <c r="H85" s="465" t="s">
        <v>75</v>
      </c>
    </row>
    <row r="86" spans="1:8" ht="30.75" customHeight="1">
      <c r="A86" s="469"/>
      <c r="B86" s="471"/>
      <c r="C86" s="471"/>
      <c r="D86" s="466"/>
      <c r="E86" s="466"/>
      <c r="F86" s="466"/>
      <c r="G86" s="466"/>
      <c r="H86" s="466"/>
    </row>
    <row r="87" spans="1:8" s="75" customFormat="1" ht="12">
      <c r="A87" s="473">
        <v>1</v>
      </c>
      <c r="B87" s="473"/>
      <c r="C87" s="73">
        <v>2</v>
      </c>
      <c r="D87" s="74">
        <v>3</v>
      </c>
      <c r="E87" s="74">
        <v>4</v>
      </c>
      <c r="F87" s="74">
        <v>5</v>
      </c>
      <c r="G87" s="74" t="s">
        <v>76</v>
      </c>
      <c r="H87" s="74" t="s">
        <v>77</v>
      </c>
    </row>
    <row r="88" spans="1:8" ht="15">
      <c r="A88" s="7">
        <v>922</v>
      </c>
      <c r="B88" s="8" t="s">
        <v>46</v>
      </c>
      <c r="C88" s="61">
        <f>SUM(C89)</f>
        <v>4857.9</v>
      </c>
      <c r="D88" s="61">
        <f>SUM(D89)</f>
        <v>90.44</v>
      </c>
      <c r="E88" s="61">
        <f>SUM(E89)</f>
        <v>90.44</v>
      </c>
      <c r="F88" s="61">
        <f>SUM(F89)</f>
        <v>90.44</v>
      </c>
      <c r="G88" s="160">
        <f>F88/C88*100</f>
        <v>1.861709792297083</v>
      </c>
      <c r="H88" s="161">
        <f>F88/E88*100</f>
        <v>100</v>
      </c>
    </row>
    <row r="89" spans="1:16" s="13" customFormat="1" ht="15">
      <c r="A89" s="65">
        <v>92211</v>
      </c>
      <c r="B89" s="62" t="s">
        <v>47</v>
      </c>
      <c r="C89" s="83">
        <v>4857.9</v>
      </c>
      <c r="D89" s="66">
        <v>90.44</v>
      </c>
      <c r="E89" s="66">
        <f>+D89</f>
        <v>90.44</v>
      </c>
      <c r="F89" s="66">
        <v>90.44</v>
      </c>
      <c r="G89" s="341">
        <f>F89/C89*100</f>
        <v>1.861709792297083</v>
      </c>
      <c r="H89" s="360">
        <f>F89/E89*100</f>
        <v>100</v>
      </c>
      <c r="I89" s="12"/>
      <c r="J89" s="12"/>
      <c r="K89" s="12"/>
      <c r="L89" s="12"/>
      <c r="M89" s="12"/>
      <c r="P89" s="19"/>
    </row>
    <row r="90" spans="1:16" s="13" customFormat="1" ht="24.75" customHeight="1">
      <c r="A90" s="501" t="s">
        <v>51</v>
      </c>
      <c r="B90" s="502"/>
      <c r="C90" s="185">
        <f>C88</f>
        <v>4857.9</v>
      </c>
      <c r="D90" s="185">
        <f>D88</f>
        <v>90.44</v>
      </c>
      <c r="E90" s="185">
        <f>E88</f>
        <v>90.44</v>
      </c>
      <c r="F90" s="185">
        <f>F88</f>
        <v>90.44</v>
      </c>
      <c r="G90" s="198">
        <f>F90/C90*100</f>
        <v>1.861709792297083</v>
      </c>
      <c r="H90" s="199">
        <f>F90/E90*100</f>
        <v>100</v>
      </c>
      <c r="I90" s="12"/>
      <c r="J90" s="12"/>
      <c r="K90" s="12"/>
      <c r="L90" s="12"/>
      <c r="M90" s="12"/>
      <c r="P90" s="19"/>
    </row>
    <row r="91" spans="1:16" s="13" customFormat="1" ht="15.75" customHeight="1">
      <c r="A91" s="42"/>
      <c r="B91" s="42"/>
      <c r="C91" s="42"/>
      <c r="D91" s="12"/>
      <c r="E91" s="12"/>
      <c r="F91" s="12"/>
      <c r="G91" s="12"/>
      <c r="H91" s="3"/>
      <c r="I91" s="12"/>
      <c r="J91" s="12"/>
      <c r="K91" s="12"/>
      <c r="L91" s="12"/>
      <c r="M91" s="12"/>
      <c r="P91" s="19"/>
    </row>
    <row r="92" spans="1:16" s="36" customFormat="1" ht="15">
      <c r="A92" s="196" t="s">
        <v>52</v>
      </c>
      <c r="B92" s="197"/>
      <c r="C92" s="88"/>
      <c r="D92" s="89"/>
      <c r="E92" s="89"/>
      <c r="F92" s="89"/>
      <c r="G92" s="89"/>
      <c r="H92" s="85"/>
      <c r="I92" s="12"/>
      <c r="J92" s="12"/>
      <c r="K92" s="12"/>
      <c r="L92" s="12"/>
      <c r="M92" s="12"/>
      <c r="P92" s="81"/>
    </row>
    <row r="93" spans="1:16" s="13" customFormat="1" ht="14.25" customHeight="1">
      <c r="A93" s="468" t="s">
        <v>29</v>
      </c>
      <c r="B93" s="470" t="s">
        <v>3</v>
      </c>
      <c r="C93" s="470" t="s">
        <v>74</v>
      </c>
      <c r="D93" s="465" t="s">
        <v>169</v>
      </c>
      <c r="E93" s="465" t="s">
        <v>170</v>
      </c>
      <c r="F93" s="465" t="s">
        <v>171</v>
      </c>
      <c r="G93" s="465" t="s">
        <v>75</v>
      </c>
      <c r="H93" s="465" t="s">
        <v>75</v>
      </c>
      <c r="I93" s="12"/>
      <c r="J93" s="12"/>
      <c r="K93" s="12"/>
      <c r="L93" s="12"/>
      <c r="M93" s="12"/>
      <c r="P93" s="19"/>
    </row>
    <row r="94" spans="1:16" s="13" customFormat="1" ht="30" customHeight="1">
      <c r="A94" s="469"/>
      <c r="B94" s="471"/>
      <c r="C94" s="471"/>
      <c r="D94" s="466"/>
      <c r="E94" s="466"/>
      <c r="F94" s="466"/>
      <c r="G94" s="466"/>
      <c r="H94" s="466"/>
      <c r="I94" s="12"/>
      <c r="J94" s="12"/>
      <c r="K94" s="12"/>
      <c r="L94" s="12"/>
      <c r="M94" s="12"/>
      <c r="P94" s="19"/>
    </row>
    <row r="95" spans="1:16" s="79" customFormat="1" ht="12">
      <c r="A95" s="467">
        <v>1</v>
      </c>
      <c r="B95" s="467"/>
      <c r="C95" s="107">
        <v>2</v>
      </c>
      <c r="D95" s="108">
        <v>3</v>
      </c>
      <c r="E95" s="108">
        <v>4</v>
      </c>
      <c r="F95" s="108">
        <v>5</v>
      </c>
      <c r="G95" s="74" t="s">
        <v>76</v>
      </c>
      <c r="H95" s="74" t="s">
        <v>77</v>
      </c>
      <c r="I95" s="78"/>
      <c r="J95" s="78"/>
      <c r="K95" s="78"/>
      <c r="L95" s="78"/>
      <c r="M95" s="78"/>
      <c r="P95" s="80"/>
    </row>
    <row r="96" spans="1:16" s="13" customFormat="1" ht="15.75" customHeight="1">
      <c r="A96" s="363">
        <v>922</v>
      </c>
      <c r="B96" s="364" t="s">
        <v>46</v>
      </c>
      <c r="C96" s="365">
        <f>SUM(C97)</f>
        <v>63527.72</v>
      </c>
      <c r="D96" s="365">
        <f>SUM(D97)</f>
        <v>24874.09</v>
      </c>
      <c r="E96" s="365">
        <f>SUM(E97)</f>
        <v>24874.09</v>
      </c>
      <c r="F96" s="365">
        <f>SUM(F97)</f>
        <v>24874.09</v>
      </c>
      <c r="G96" s="160">
        <f>F96/C96*100</f>
        <v>39.15470286042061</v>
      </c>
      <c r="H96" s="161">
        <f>F96/E96*100</f>
        <v>100</v>
      </c>
      <c r="I96" s="12"/>
      <c r="J96" s="12"/>
      <c r="K96" s="12"/>
      <c r="L96" s="12"/>
      <c r="M96" s="12"/>
      <c r="P96" s="19"/>
    </row>
    <row r="97" spans="1:16" s="13" customFormat="1" ht="15">
      <c r="A97" s="65">
        <v>92211</v>
      </c>
      <c r="B97" s="62" t="s">
        <v>47</v>
      </c>
      <c r="C97" s="83">
        <f>8192.54+55335.18</f>
        <v>63527.72</v>
      </c>
      <c r="D97" s="66">
        <v>24874.09</v>
      </c>
      <c r="E97" s="66">
        <f>+D97</f>
        <v>24874.09</v>
      </c>
      <c r="F97" s="66">
        <v>24874.09</v>
      </c>
      <c r="G97" s="341">
        <f>F97/C97*100</f>
        <v>39.15470286042061</v>
      </c>
      <c r="H97" s="360">
        <f>F97/E97*100</f>
        <v>100</v>
      </c>
      <c r="I97" s="12"/>
      <c r="J97" s="12"/>
      <c r="K97" s="12"/>
      <c r="L97" s="12"/>
      <c r="M97" s="12"/>
      <c r="P97" s="19"/>
    </row>
    <row r="98" spans="1:16" s="13" customFormat="1" ht="30.75" customHeight="1">
      <c r="A98" s="501" t="s">
        <v>53</v>
      </c>
      <c r="B98" s="502"/>
      <c r="C98" s="185">
        <f>C96</f>
        <v>63527.72</v>
      </c>
      <c r="D98" s="185">
        <f>D96</f>
        <v>24874.09</v>
      </c>
      <c r="E98" s="185">
        <f>E96</f>
        <v>24874.09</v>
      </c>
      <c r="F98" s="185">
        <f>F96</f>
        <v>24874.09</v>
      </c>
      <c r="G98" s="198">
        <f>F98/C98*100</f>
        <v>39.15470286042061</v>
      </c>
      <c r="H98" s="199">
        <f>F98/E98*100</f>
        <v>100</v>
      </c>
      <c r="I98" s="12"/>
      <c r="J98" s="12"/>
      <c r="K98" s="12"/>
      <c r="L98" s="12"/>
      <c r="M98" s="12"/>
      <c r="P98" s="19"/>
    </row>
    <row r="99" spans="1:16" s="13" customFormat="1" ht="27" customHeight="1">
      <c r="A99" s="11"/>
      <c r="B99" s="11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P99" s="19"/>
    </row>
    <row r="100" spans="1:8" s="85" customFormat="1" ht="15">
      <c r="A100" s="196" t="s">
        <v>55</v>
      </c>
      <c r="B100" s="197"/>
      <c r="C100" s="88"/>
      <c r="D100" s="89"/>
      <c r="E100" s="89"/>
      <c r="F100" s="89"/>
      <c r="G100" s="89"/>
      <c r="H100" s="12"/>
    </row>
    <row r="101" spans="1:8" ht="14.25" customHeight="1">
      <c r="A101" s="468" t="s">
        <v>29</v>
      </c>
      <c r="B101" s="470" t="s">
        <v>3</v>
      </c>
      <c r="C101" s="470" t="s">
        <v>74</v>
      </c>
      <c r="D101" s="465" t="s">
        <v>169</v>
      </c>
      <c r="E101" s="465" t="s">
        <v>170</v>
      </c>
      <c r="F101" s="465" t="s">
        <v>171</v>
      </c>
      <c r="G101" s="465" t="s">
        <v>75</v>
      </c>
      <c r="H101" s="465" t="s">
        <v>75</v>
      </c>
    </row>
    <row r="102" spans="1:8" ht="28.5" customHeight="1">
      <c r="A102" s="469"/>
      <c r="B102" s="471"/>
      <c r="C102" s="471"/>
      <c r="D102" s="466"/>
      <c r="E102" s="466"/>
      <c r="F102" s="466"/>
      <c r="G102" s="466"/>
      <c r="H102" s="466"/>
    </row>
    <row r="103" spans="1:8" s="75" customFormat="1" ht="12">
      <c r="A103" s="473">
        <v>1</v>
      </c>
      <c r="B103" s="473"/>
      <c r="C103" s="73">
        <v>2</v>
      </c>
      <c r="D103" s="74">
        <v>3</v>
      </c>
      <c r="E103" s="74">
        <v>4</v>
      </c>
      <c r="F103" s="74">
        <v>5</v>
      </c>
      <c r="G103" s="74" t="s">
        <v>76</v>
      </c>
      <c r="H103" s="74" t="s">
        <v>77</v>
      </c>
    </row>
    <row r="104" spans="1:16" ht="18.75" customHeight="1">
      <c r="A104" s="7">
        <v>922</v>
      </c>
      <c r="B104" s="8" t="s">
        <v>46</v>
      </c>
      <c r="C104" s="61">
        <f>SUM(C105)</f>
        <v>308329.31</v>
      </c>
      <c r="D104" s="61">
        <f>SUM(D105)</f>
        <v>70343.35</v>
      </c>
      <c r="E104" s="61">
        <f>SUM(E105)</f>
        <v>70343.35</v>
      </c>
      <c r="F104" s="61">
        <f>SUM(F105)</f>
        <v>67698.32</v>
      </c>
      <c r="G104" s="160">
        <f>F104/C104*100</f>
        <v>21.956498394525</v>
      </c>
      <c r="H104" s="161">
        <f>F104/E104*100</f>
        <v>96.23982935131751</v>
      </c>
      <c r="I104" s="25"/>
      <c r="J104" s="25"/>
      <c r="K104" s="26"/>
      <c r="L104" s="27"/>
      <c r="N104" s="26"/>
      <c r="O104" s="26"/>
      <c r="P104" s="26"/>
    </row>
    <row r="105" spans="1:16" ht="18.75" customHeight="1">
      <c r="A105" s="65">
        <v>92211</v>
      </c>
      <c r="B105" s="62" t="s">
        <v>47</v>
      </c>
      <c r="C105" s="83">
        <f>2961.81+305367.5</f>
        <v>308329.31</v>
      </c>
      <c r="D105" s="66">
        <v>70343.35</v>
      </c>
      <c r="E105" s="66">
        <f>+D105</f>
        <v>70343.35</v>
      </c>
      <c r="F105" s="66">
        <v>67698.32</v>
      </c>
      <c r="G105" s="341">
        <f>F105/C105*100</f>
        <v>21.956498394525</v>
      </c>
      <c r="H105" s="360">
        <f>F105/E105*100</f>
        <v>96.23982935131751</v>
      </c>
      <c r="I105" s="25"/>
      <c r="J105" s="25"/>
      <c r="K105" s="26"/>
      <c r="L105" s="27"/>
      <c r="N105" s="26"/>
      <c r="O105" s="26"/>
      <c r="P105" s="26"/>
    </row>
    <row r="106" spans="1:11" s="28" customFormat="1" ht="20.25" customHeight="1">
      <c r="A106" s="480" t="s">
        <v>35</v>
      </c>
      <c r="B106" s="481"/>
      <c r="C106" s="185">
        <f>C104</f>
        <v>308329.31</v>
      </c>
      <c r="D106" s="185">
        <f>D104</f>
        <v>70343.35</v>
      </c>
      <c r="E106" s="185">
        <f>E104</f>
        <v>70343.35</v>
      </c>
      <c r="F106" s="185">
        <f>F104</f>
        <v>67698.32</v>
      </c>
      <c r="G106" s="198">
        <f>F106/C106*100</f>
        <v>21.956498394525</v>
      </c>
      <c r="H106" s="199">
        <f>F106/E106*100</f>
        <v>96.23982935131751</v>
      </c>
      <c r="I106" s="29"/>
      <c r="J106" s="29"/>
      <c r="K106" s="29"/>
    </row>
    <row r="107" spans="1:11" s="28" customFormat="1" ht="20.25" customHeight="1">
      <c r="A107" s="253"/>
      <c r="B107" s="253"/>
      <c r="C107" s="17"/>
      <c r="D107" s="17"/>
      <c r="E107" s="17"/>
      <c r="F107" s="17"/>
      <c r="G107" s="17"/>
      <c r="H107" s="17"/>
      <c r="I107" s="29"/>
      <c r="J107" s="29"/>
      <c r="K107" s="29"/>
    </row>
    <row r="108" spans="1:8" s="85" customFormat="1" ht="15">
      <c r="A108" s="196" t="s">
        <v>179</v>
      </c>
      <c r="B108" s="197"/>
      <c r="C108" s="88"/>
      <c r="D108" s="89"/>
      <c r="E108" s="89"/>
      <c r="F108" s="89"/>
      <c r="G108" s="89"/>
      <c r="H108" s="12"/>
    </row>
    <row r="109" spans="1:8" ht="14.25" customHeight="1">
      <c r="A109" s="468" t="s">
        <v>29</v>
      </c>
      <c r="B109" s="470" t="s">
        <v>3</v>
      </c>
      <c r="C109" s="470" t="s">
        <v>74</v>
      </c>
      <c r="D109" s="465" t="s">
        <v>169</v>
      </c>
      <c r="E109" s="465" t="s">
        <v>170</v>
      </c>
      <c r="F109" s="465" t="s">
        <v>171</v>
      </c>
      <c r="G109" s="465" t="s">
        <v>75</v>
      </c>
      <c r="H109" s="465" t="s">
        <v>75</v>
      </c>
    </row>
    <row r="110" spans="1:8" ht="28.5" customHeight="1">
      <c r="A110" s="469"/>
      <c r="B110" s="471"/>
      <c r="C110" s="471"/>
      <c r="D110" s="466"/>
      <c r="E110" s="466"/>
      <c r="F110" s="466"/>
      <c r="G110" s="466"/>
      <c r="H110" s="466"/>
    </row>
    <row r="111" spans="1:8" s="75" customFormat="1" ht="12">
      <c r="A111" s="473">
        <v>1</v>
      </c>
      <c r="B111" s="473"/>
      <c r="C111" s="73">
        <v>2</v>
      </c>
      <c r="D111" s="74">
        <v>3</v>
      </c>
      <c r="E111" s="74">
        <v>4</v>
      </c>
      <c r="F111" s="74">
        <v>5</v>
      </c>
      <c r="G111" s="74" t="s">
        <v>76</v>
      </c>
      <c r="H111" s="74" t="s">
        <v>77</v>
      </c>
    </row>
    <row r="112" spans="1:16" ht="18.75" customHeight="1">
      <c r="A112" s="7">
        <v>922</v>
      </c>
      <c r="B112" s="8" t="s">
        <v>46</v>
      </c>
      <c r="C112" s="61">
        <f>SUM(C113)</f>
        <v>0</v>
      </c>
      <c r="D112" s="61">
        <f>SUM(D113)</f>
        <v>170</v>
      </c>
      <c r="E112" s="61">
        <f>SUM(E113)</f>
        <v>170</v>
      </c>
      <c r="F112" s="61">
        <f>SUM(F113)</f>
        <v>170</v>
      </c>
      <c r="G112" s="160" t="e">
        <f>F112/C112*100</f>
        <v>#DIV/0!</v>
      </c>
      <c r="H112" s="161">
        <f>F112/E112*100</f>
        <v>100</v>
      </c>
      <c r="I112" s="25"/>
      <c r="J112" s="25"/>
      <c r="K112" s="26"/>
      <c r="L112" s="27"/>
      <c r="N112" s="26"/>
      <c r="O112" s="26"/>
      <c r="P112" s="26"/>
    </row>
    <row r="113" spans="1:16" ht="18.75" customHeight="1">
      <c r="A113" s="65">
        <v>92211</v>
      </c>
      <c r="B113" s="62" t="s">
        <v>47</v>
      </c>
      <c r="C113" s="130">
        <v>0</v>
      </c>
      <c r="D113" s="66">
        <v>170</v>
      </c>
      <c r="E113" s="66">
        <f>+D113</f>
        <v>170</v>
      </c>
      <c r="F113" s="66">
        <v>170</v>
      </c>
      <c r="G113" s="341" t="e">
        <f>F113/C113*100</f>
        <v>#DIV/0!</v>
      </c>
      <c r="H113" s="360">
        <f>F113/E113*100</f>
        <v>100</v>
      </c>
      <c r="I113" s="25"/>
      <c r="J113" s="25"/>
      <c r="K113" s="26"/>
      <c r="L113" s="27"/>
      <c r="N113" s="26"/>
      <c r="O113" s="26"/>
      <c r="P113" s="26"/>
    </row>
    <row r="114" spans="1:11" s="28" customFormat="1" ht="20.25" customHeight="1">
      <c r="A114" s="480" t="s">
        <v>35</v>
      </c>
      <c r="B114" s="481"/>
      <c r="C114" s="185">
        <f>C112</f>
        <v>0</v>
      </c>
      <c r="D114" s="185">
        <f>D112</f>
        <v>170</v>
      </c>
      <c r="E114" s="185">
        <f>E112</f>
        <v>170</v>
      </c>
      <c r="F114" s="185">
        <f>F112</f>
        <v>170</v>
      </c>
      <c r="G114" s="198" t="e">
        <f>F114/C114*100</f>
        <v>#DIV/0!</v>
      </c>
      <c r="H114" s="199">
        <f>F114/E114*100</f>
        <v>100</v>
      </c>
      <c r="I114" s="29"/>
      <c r="J114" s="29"/>
      <c r="K114" s="29"/>
    </row>
    <row r="115" spans="1:11" s="255" customFormat="1" ht="20.25" customHeight="1">
      <c r="A115" s="253"/>
      <c r="B115" s="253"/>
      <c r="C115" s="17"/>
      <c r="D115" s="17"/>
      <c r="E115" s="17"/>
      <c r="F115" s="17"/>
      <c r="G115" s="17"/>
      <c r="H115" s="17"/>
      <c r="I115" s="254"/>
      <c r="J115" s="254"/>
      <c r="K115" s="254"/>
    </row>
    <row r="116" spans="1:8" s="85" customFormat="1" ht="15">
      <c r="A116" s="196" t="s">
        <v>180</v>
      </c>
      <c r="B116" s="197"/>
      <c r="C116" s="88"/>
      <c r="D116" s="89"/>
      <c r="E116" s="89"/>
      <c r="F116" s="89"/>
      <c r="G116" s="89"/>
      <c r="H116" s="12"/>
    </row>
    <row r="117" spans="1:8" ht="14.25" customHeight="1">
      <c r="A117" s="468" t="s">
        <v>29</v>
      </c>
      <c r="B117" s="470" t="s">
        <v>3</v>
      </c>
      <c r="C117" s="470" t="s">
        <v>74</v>
      </c>
      <c r="D117" s="465" t="s">
        <v>169</v>
      </c>
      <c r="E117" s="465" t="s">
        <v>170</v>
      </c>
      <c r="F117" s="465" t="s">
        <v>171</v>
      </c>
      <c r="G117" s="465" t="s">
        <v>75</v>
      </c>
      <c r="H117" s="465" t="s">
        <v>75</v>
      </c>
    </row>
    <row r="118" spans="1:8" ht="28.5" customHeight="1">
      <c r="A118" s="469"/>
      <c r="B118" s="471"/>
      <c r="C118" s="471"/>
      <c r="D118" s="466"/>
      <c r="E118" s="466"/>
      <c r="F118" s="466"/>
      <c r="G118" s="466"/>
      <c r="H118" s="466"/>
    </row>
    <row r="119" spans="1:8" s="75" customFormat="1" ht="12">
      <c r="A119" s="473">
        <v>1</v>
      </c>
      <c r="B119" s="473"/>
      <c r="C119" s="73">
        <v>2</v>
      </c>
      <c r="D119" s="74">
        <v>3</v>
      </c>
      <c r="E119" s="74">
        <v>4</v>
      </c>
      <c r="F119" s="74">
        <v>5</v>
      </c>
      <c r="G119" s="74" t="s">
        <v>76</v>
      </c>
      <c r="H119" s="74" t="s">
        <v>77</v>
      </c>
    </row>
    <row r="120" spans="1:16" ht="18.75" customHeight="1">
      <c r="A120" s="7">
        <v>922</v>
      </c>
      <c r="B120" s="8" t="s">
        <v>46</v>
      </c>
      <c r="C120" s="61">
        <f>SUM(C121)</f>
        <v>0</v>
      </c>
      <c r="D120" s="61">
        <f>SUM(D121)</f>
        <v>877.8</v>
      </c>
      <c r="E120" s="61">
        <f>SUM(E121)</f>
        <v>877.8</v>
      </c>
      <c r="F120" s="61">
        <f>SUM(F121)</f>
        <v>877.8</v>
      </c>
      <c r="G120" s="160" t="e">
        <f>F120/C120*100</f>
        <v>#DIV/0!</v>
      </c>
      <c r="H120" s="161">
        <f>F120/E120*100</f>
        <v>100</v>
      </c>
      <c r="I120" s="25"/>
      <c r="J120" s="25"/>
      <c r="K120" s="26"/>
      <c r="L120" s="27"/>
      <c r="N120" s="26"/>
      <c r="O120" s="26"/>
      <c r="P120" s="26"/>
    </row>
    <row r="121" spans="1:16" ht="18.75" customHeight="1">
      <c r="A121" s="65">
        <v>92212</v>
      </c>
      <c r="B121" s="62" t="s">
        <v>181</v>
      </c>
      <c r="C121" s="130">
        <v>0</v>
      </c>
      <c r="D121" s="66">
        <v>877.8</v>
      </c>
      <c r="E121" s="66">
        <v>877.8</v>
      </c>
      <c r="F121" s="66">
        <v>877.8</v>
      </c>
      <c r="G121" s="341" t="e">
        <f>F121/C121*100</f>
        <v>#DIV/0!</v>
      </c>
      <c r="H121" s="360">
        <f>F121/E121*100</f>
        <v>100</v>
      </c>
      <c r="I121" s="25"/>
      <c r="J121" s="25"/>
      <c r="K121" s="26"/>
      <c r="L121" s="27"/>
      <c r="N121" s="26"/>
      <c r="O121" s="26"/>
      <c r="P121" s="26"/>
    </row>
    <row r="122" spans="1:11" s="28" customFormat="1" ht="20.25" customHeight="1">
      <c r="A122" s="480" t="s">
        <v>35</v>
      </c>
      <c r="B122" s="481"/>
      <c r="C122" s="185">
        <f>C120</f>
        <v>0</v>
      </c>
      <c r="D122" s="185">
        <f>D120</f>
        <v>877.8</v>
      </c>
      <c r="E122" s="185">
        <f>E120</f>
        <v>877.8</v>
      </c>
      <c r="F122" s="185">
        <f>F120</f>
        <v>877.8</v>
      </c>
      <c r="G122" s="198" t="e">
        <f>F122/C122*100</f>
        <v>#DIV/0!</v>
      </c>
      <c r="H122" s="199">
        <f>F122/E122*100</f>
        <v>100</v>
      </c>
      <c r="I122" s="29"/>
      <c r="J122" s="29"/>
      <c r="K122" s="29"/>
    </row>
    <row r="123" spans="1:11" s="28" customFormat="1" ht="20.25" customHeight="1">
      <c r="A123" s="253"/>
      <c r="B123" s="253"/>
      <c r="C123" s="17"/>
      <c r="D123" s="17"/>
      <c r="E123" s="17"/>
      <c r="F123" s="17"/>
      <c r="G123" s="17"/>
      <c r="H123" s="17"/>
      <c r="I123" s="29"/>
      <c r="J123" s="29"/>
      <c r="K123" s="29"/>
    </row>
    <row r="124" spans="1:8" s="28" customFormat="1" ht="15">
      <c r="A124" s="11"/>
      <c r="B124" s="11"/>
      <c r="C124" s="11"/>
      <c r="D124" s="12"/>
      <c r="E124" s="12"/>
      <c r="F124" s="12"/>
      <c r="G124" s="12"/>
      <c r="H124" s="12"/>
    </row>
    <row r="125" spans="1:12" s="28" customFormat="1" ht="15">
      <c r="A125" s="11"/>
      <c r="B125" s="11"/>
      <c r="C125" s="11"/>
      <c r="D125" s="12"/>
      <c r="E125" s="12"/>
      <c r="F125" s="12"/>
      <c r="G125" s="12"/>
      <c r="H125" s="12"/>
      <c r="K125" s="92"/>
      <c r="L125" s="92"/>
    </row>
    <row r="126" spans="1:12" s="28" customFormat="1" ht="19.5">
      <c r="A126" s="489" t="s">
        <v>57</v>
      </c>
      <c r="B126" s="489"/>
      <c r="C126" s="200">
        <f>SUM(C12,C23,C32,C47)+C56+C64</f>
        <v>14244267.780000001</v>
      </c>
      <c r="D126" s="200">
        <f>SUM(D12,D23,D32,D47)+D56+D64</f>
        <v>13955875.260000002</v>
      </c>
      <c r="E126" s="200">
        <f>SUM(E12,E23,E32,E47)+E56+E64</f>
        <v>13980562.760000002</v>
      </c>
      <c r="F126" s="200">
        <f>SUM(F12,F23,F32,F47)+F56+F64</f>
        <v>14619680.880000003</v>
      </c>
      <c r="G126" s="256">
        <f>F126/C126*100</f>
        <v>102.63553806905476</v>
      </c>
      <c r="H126" s="257">
        <f>F126/E126*100</f>
        <v>104.57147634878183</v>
      </c>
      <c r="K126" s="92"/>
      <c r="L126" s="92"/>
    </row>
    <row r="127" spans="1:16" s="13" customFormat="1" ht="19.5">
      <c r="A127" s="489" t="s">
        <v>58</v>
      </c>
      <c r="B127" s="489"/>
      <c r="C127" s="201">
        <f>SUM(C12,C23,C32,C47,C90,C98,C106)+C56+C64+C114+C122</f>
        <v>14620982.710000003</v>
      </c>
      <c r="D127" s="201">
        <f>SUM(D12,D23,D32,D47,D90,D98,D106)+D56+D64+D114+D122</f>
        <v>14052230.940000001</v>
      </c>
      <c r="E127" s="201">
        <f>SUM(E12,E23,E32,E47,E90,E98,E106)+E56+E64+E114+E122</f>
        <v>14076918.440000001</v>
      </c>
      <c r="F127" s="201">
        <f>SUM(F12,F23,F32,F47,F90,F98,F106)+F56+F64+F114+F122</f>
        <v>14713391.530000003</v>
      </c>
      <c r="G127" s="198">
        <f>F127/C127*100</f>
        <v>100.6320287892605</v>
      </c>
      <c r="H127" s="199">
        <f>F127/E127*100</f>
        <v>104.5213950248617</v>
      </c>
      <c r="I127" s="12"/>
      <c r="J127" s="12"/>
      <c r="K127" s="12"/>
      <c r="L127" s="12"/>
      <c r="M127" s="12"/>
      <c r="P127" s="19"/>
    </row>
    <row r="128" spans="1:16" s="19" customFormat="1" ht="14.25" customHeight="1">
      <c r="A128" s="3"/>
      <c r="B128" s="3"/>
      <c r="C128" s="3"/>
      <c r="D128" s="14"/>
      <c r="E128" s="14"/>
      <c r="F128" s="14"/>
      <c r="G128" s="14"/>
      <c r="H128" s="3"/>
      <c r="I128" s="12"/>
      <c r="J128" s="12"/>
      <c r="K128" s="17"/>
      <c r="L128" s="17"/>
      <c r="M128" s="12"/>
      <c r="N128" s="30">
        <f>SUM(N130:N130)</f>
        <v>0</v>
      </c>
      <c r="O128" s="31">
        <f>SUM(O130:O130)</f>
        <v>0</v>
      </c>
      <c r="P128" s="19">
        <f>SUM(H128:J128)</f>
        <v>0</v>
      </c>
    </row>
    <row r="129" spans="1:15" s="19" customFormat="1" ht="14.25" customHeight="1">
      <c r="A129" s="3"/>
      <c r="B129" s="3"/>
      <c r="C129" s="3"/>
      <c r="D129" s="14"/>
      <c r="E129" s="14"/>
      <c r="F129" s="14"/>
      <c r="G129" s="14"/>
      <c r="H129" s="3"/>
      <c r="I129" s="12"/>
      <c r="J129" s="12"/>
      <c r="K129" s="17"/>
      <c r="L129" s="17"/>
      <c r="M129" s="12"/>
      <c r="N129" s="18"/>
      <c r="O129" s="18"/>
    </row>
    <row r="130" spans="1:16" ht="20.25">
      <c r="A130" s="490" t="s">
        <v>27</v>
      </c>
      <c r="B130" s="490"/>
      <c r="C130" s="490"/>
      <c r="D130" s="490"/>
      <c r="E130" s="490"/>
      <c r="F130" s="490"/>
      <c r="G130" s="490"/>
      <c r="H130" s="490"/>
      <c r="I130" s="23"/>
      <c r="J130" s="23"/>
      <c r="K130" s="24"/>
      <c r="L130" s="24"/>
      <c r="M130" s="23"/>
      <c r="N130" s="3">
        <v>0</v>
      </c>
      <c r="O130" s="3">
        <v>0</v>
      </c>
      <c r="P130" s="19"/>
    </row>
    <row r="131" spans="1:16" s="19" customFormat="1" ht="15.75" customHeight="1">
      <c r="A131" s="44" t="s">
        <v>188</v>
      </c>
      <c r="B131" s="45"/>
      <c r="C131" s="45"/>
      <c r="D131" s="45"/>
      <c r="E131" s="45"/>
      <c r="F131" s="45"/>
      <c r="G131" s="45"/>
      <c r="H131" s="29"/>
      <c r="I131" s="12"/>
      <c r="J131" s="12"/>
      <c r="K131" s="17"/>
      <c r="L131" s="17"/>
      <c r="M131" s="12"/>
      <c r="N131" s="19">
        <v>0</v>
      </c>
      <c r="O131" s="19">
        <v>0</v>
      </c>
      <c r="P131" s="19">
        <f>SUM(H131:J131)</f>
        <v>0</v>
      </c>
    </row>
    <row r="132" spans="1:16" ht="19.5" customHeight="1">
      <c r="A132" s="479" t="s">
        <v>189</v>
      </c>
      <c r="B132" s="479"/>
      <c r="C132" s="479"/>
      <c r="D132" s="479"/>
      <c r="E132" s="71"/>
      <c r="F132" s="71"/>
      <c r="G132" s="71"/>
      <c r="H132" s="28"/>
      <c r="I132" s="23"/>
      <c r="J132" s="23"/>
      <c r="K132" s="24"/>
      <c r="L132" s="24"/>
      <c r="M132" s="23"/>
      <c r="N132" s="3">
        <v>0</v>
      </c>
      <c r="O132" s="3">
        <v>0</v>
      </c>
      <c r="P132" s="19"/>
    </row>
    <row r="133" spans="1:16" s="13" customFormat="1" ht="15">
      <c r="A133" s="13" t="s">
        <v>80</v>
      </c>
      <c r="B133" s="11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P133" s="19"/>
    </row>
    <row r="134" spans="1:16" ht="15">
      <c r="A134" s="468" t="s">
        <v>78</v>
      </c>
      <c r="B134" s="470" t="s">
        <v>3</v>
      </c>
      <c r="C134" s="470" t="s">
        <v>74</v>
      </c>
      <c r="D134" s="465" t="s">
        <v>169</v>
      </c>
      <c r="E134" s="465" t="s">
        <v>170</v>
      </c>
      <c r="F134" s="465" t="s">
        <v>171</v>
      </c>
      <c r="G134" s="465" t="s">
        <v>75</v>
      </c>
      <c r="H134" s="465" t="s">
        <v>75</v>
      </c>
      <c r="I134" s="23"/>
      <c r="J134" s="23"/>
      <c r="K134" s="24"/>
      <c r="L134" s="24"/>
      <c r="M134" s="23"/>
      <c r="P134" s="19"/>
    </row>
    <row r="135" spans="1:16" ht="15">
      <c r="A135" s="469"/>
      <c r="B135" s="471"/>
      <c r="C135" s="471"/>
      <c r="D135" s="466"/>
      <c r="E135" s="466"/>
      <c r="F135" s="466"/>
      <c r="G135" s="466"/>
      <c r="H135" s="466"/>
      <c r="I135" s="23"/>
      <c r="J135" s="23"/>
      <c r="K135" s="24"/>
      <c r="L135" s="24"/>
      <c r="M135" s="23"/>
      <c r="P135" s="19"/>
    </row>
    <row r="136" spans="1:16" ht="15">
      <c r="A136" s="202">
        <v>32</v>
      </c>
      <c r="B136" s="181" t="s">
        <v>11</v>
      </c>
      <c r="C136" s="159">
        <f>+C137+C140</f>
        <v>4444.469999999999</v>
      </c>
      <c r="D136" s="159">
        <f>+D137+D140</f>
        <v>3292.14</v>
      </c>
      <c r="E136" s="159">
        <f>+E137+E140</f>
        <v>3292.14</v>
      </c>
      <c r="F136" s="159">
        <f>+F137+F140</f>
        <v>3292</v>
      </c>
      <c r="G136" s="198">
        <f aca="true" t="shared" si="6" ref="G136:G142">F136/C136*100</f>
        <v>74.06957409994894</v>
      </c>
      <c r="H136" s="199">
        <f aca="true" t="shared" si="7" ref="H136:H142">F136/E136*100</f>
        <v>99.9957474469494</v>
      </c>
      <c r="I136" s="23"/>
      <c r="J136" s="23"/>
      <c r="K136" s="24"/>
      <c r="L136" s="24"/>
      <c r="M136" s="23"/>
      <c r="P136" s="19"/>
    </row>
    <row r="137" spans="1:16" ht="15">
      <c r="A137" s="368">
        <v>322</v>
      </c>
      <c r="B137" s="369" t="s">
        <v>14</v>
      </c>
      <c r="C137" s="370">
        <f>+C138+C139</f>
        <v>890</v>
      </c>
      <c r="D137" s="370">
        <f>+D138+D139</f>
        <v>335</v>
      </c>
      <c r="E137" s="370">
        <f>+E138+E139</f>
        <v>335</v>
      </c>
      <c r="F137" s="371">
        <f>+F138+F139</f>
        <v>335</v>
      </c>
      <c r="G137" s="366">
        <f t="shared" si="6"/>
        <v>37.640449438202246</v>
      </c>
      <c r="H137" s="187">
        <f t="shared" si="7"/>
        <v>100</v>
      </c>
      <c r="I137" s="23"/>
      <c r="J137" s="23"/>
      <c r="K137" s="24"/>
      <c r="L137" s="24"/>
      <c r="M137" s="23"/>
      <c r="P137" s="19"/>
    </row>
    <row r="138" spans="1:16" ht="15">
      <c r="A138" s="154">
        <v>3221</v>
      </c>
      <c r="B138" s="72" t="s">
        <v>15</v>
      </c>
      <c r="C138" s="157">
        <v>170</v>
      </c>
      <c r="D138" s="23">
        <v>65</v>
      </c>
      <c r="E138" s="23">
        <f>+D138</f>
        <v>65</v>
      </c>
      <c r="F138" s="23">
        <v>65</v>
      </c>
      <c r="G138" s="32">
        <f t="shared" si="6"/>
        <v>38.23529411764706</v>
      </c>
      <c r="H138" s="342">
        <f t="shared" si="7"/>
        <v>100</v>
      </c>
      <c r="I138" s="23"/>
      <c r="J138" s="23"/>
      <c r="K138" s="24"/>
      <c r="L138" s="24"/>
      <c r="M138" s="23"/>
      <c r="P138" s="19"/>
    </row>
    <row r="139" spans="1:16" ht="15">
      <c r="A139" s="20">
        <v>3222</v>
      </c>
      <c r="B139" s="21" t="s">
        <v>131</v>
      </c>
      <c r="C139" s="82">
        <v>720</v>
      </c>
      <c r="D139" s="22">
        <v>270</v>
      </c>
      <c r="E139" s="22">
        <f>+D138:D139</f>
        <v>270</v>
      </c>
      <c r="F139" s="22">
        <v>270</v>
      </c>
      <c r="G139" s="160">
        <f t="shared" si="6"/>
        <v>37.5</v>
      </c>
      <c r="H139" s="161">
        <f t="shared" si="7"/>
        <v>100</v>
      </c>
      <c r="I139" s="23"/>
      <c r="J139" s="23"/>
      <c r="K139" s="24"/>
      <c r="L139" s="24"/>
      <c r="M139" s="23"/>
      <c r="P139" s="19"/>
    </row>
    <row r="140" spans="1:16" ht="15">
      <c r="A140" s="368">
        <v>329</v>
      </c>
      <c r="B140" s="369" t="s">
        <v>18</v>
      </c>
      <c r="C140" s="370">
        <f>+C141</f>
        <v>3554.47</v>
      </c>
      <c r="D140" s="370">
        <f>+D141</f>
        <v>2957.14</v>
      </c>
      <c r="E140" s="370">
        <f>+E141</f>
        <v>2957.14</v>
      </c>
      <c r="F140" s="371">
        <f>+F141</f>
        <v>2957</v>
      </c>
      <c r="G140" s="169">
        <f t="shared" si="6"/>
        <v>83.19102425959426</v>
      </c>
      <c r="H140" s="367">
        <f t="shared" si="7"/>
        <v>99.99526569590888</v>
      </c>
      <c r="I140" s="23"/>
      <c r="J140" s="23"/>
      <c r="K140" s="24"/>
      <c r="L140" s="24"/>
      <c r="M140" s="23"/>
      <c r="P140" s="19"/>
    </row>
    <row r="141" spans="1:16" ht="30">
      <c r="A141" s="154">
        <v>3291</v>
      </c>
      <c r="B141" s="72" t="s">
        <v>105</v>
      </c>
      <c r="C141" s="372">
        <v>3554.47</v>
      </c>
      <c r="D141" s="340">
        <v>2957.14</v>
      </c>
      <c r="E141" s="340">
        <f>+D141</f>
        <v>2957.14</v>
      </c>
      <c r="F141" s="340">
        <v>2957</v>
      </c>
      <c r="G141" s="194">
        <f t="shared" si="6"/>
        <v>83.19102425959426</v>
      </c>
      <c r="H141" s="195">
        <f t="shared" si="7"/>
        <v>99.99526569590888</v>
      </c>
      <c r="I141" s="23"/>
      <c r="J141" s="23"/>
      <c r="K141" s="24"/>
      <c r="L141" s="24"/>
      <c r="M141" s="23"/>
      <c r="P141" s="19"/>
    </row>
    <row r="142" spans="1:16" ht="15">
      <c r="A142" s="503" t="s">
        <v>6</v>
      </c>
      <c r="B142" s="504"/>
      <c r="C142" s="185">
        <f>+C137+C140</f>
        <v>4444.469999999999</v>
      </c>
      <c r="D142" s="185">
        <f>+D137+D140</f>
        <v>3292.14</v>
      </c>
      <c r="E142" s="185">
        <f>+E137+E140</f>
        <v>3292.14</v>
      </c>
      <c r="F142" s="185">
        <f>+F137+F140</f>
        <v>3292</v>
      </c>
      <c r="G142" s="198">
        <f t="shared" si="6"/>
        <v>74.06957409994894</v>
      </c>
      <c r="H142" s="199">
        <f t="shared" si="7"/>
        <v>99.9957474469494</v>
      </c>
      <c r="I142" s="23"/>
      <c r="J142" s="23"/>
      <c r="K142" s="24"/>
      <c r="L142" s="24"/>
      <c r="M142" s="23"/>
      <c r="P142" s="19"/>
    </row>
    <row r="143" spans="1:16" ht="15">
      <c r="A143" s="268"/>
      <c r="B143" s="156"/>
      <c r="C143" s="269"/>
      <c r="D143" s="269"/>
      <c r="E143" s="269"/>
      <c r="F143" s="269"/>
      <c r="G143" s="17"/>
      <c r="H143" s="17"/>
      <c r="I143" s="23"/>
      <c r="J143" s="23"/>
      <c r="K143" s="24"/>
      <c r="L143" s="24"/>
      <c r="M143" s="23"/>
      <c r="P143" s="19"/>
    </row>
    <row r="144" spans="1:16" ht="15">
      <c r="A144" s="268"/>
      <c r="B144" s="156"/>
      <c r="C144" s="269"/>
      <c r="D144" s="269"/>
      <c r="E144" s="269"/>
      <c r="F144" s="269"/>
      <c r="G144" s="17"/>
      <c r="H144" s="17"/>
      <c r="I144" s="23"/>
      <c r="J144" s="23"/>
      <c r="K144" s="24"/>
      <c r="L144" s="24"/>
      <c r="M144" s="23"/>
      <c r="P144" s="19"/>
    </row>
    <row r="145" spans="1:16" ht="15">
      <c r="A145" s="268"/>
      <c r="B145" s="156"/>
      <c r="C145" s="269"/>
      <c r="D145" s="269"/>
      <c r="E145" s="269"/>
      <c r="F145" s="269"/>
      <c r="G145" s="17"/>
      <c r="H145" s="17"/>
      <c r="I145" s="23"/>
      <c r="J145" s="23"/>
      <c r="K145" s="24"/>
      <c r="L145" s="24"/>
      <c r="M145" s="23"/>
      <c r="P145" s="19"/>
    </row>
    <row r="146" spans="1:16" ht="20.25">
      <c r="A146" s="267"/>
      <c r="B146" s="267"/>
      <c r="C146" s="267"/>
      <c r="D146" s="267"/>
      <c r="E146" s="267"/>
      <c r="F146" s="267"/>
      <c r="G146" s="267"/>
      <c r="H146" s="267"/>
      <c r="I146" s="23"/>
      <c r="J146" s="23"/>
      <c r="K146" s="24"/>
      <c r="L146" s="24"/>
      <c r="M146" s="23"/>
      <c r="P146" s="19"/>
    </row>
    <row r="147" spans="1:16" s="19" customFormat="1" ht="15.75" customHeight="1">
      <c r="A147" s="44" t="s">
        <v>190</v>
      </c>
      <c r="B147" s="45"/>
      <c r="C147" s="45"/>
      <c r="D147" s="45"/>
      <c r="E147" s="45"/>
      <c r="F147" s="45"/>
      <c r="G147" s="45"/>
      <c r="H147" s="29"/>
      <c r="I147" s="12"/>
      <c r="J147" s="12"/>
      <c r="K147" s="17"/>
      <c r="L147" s="17"/>
      <c r="M147" s="12"/>
      <c r="N147" s="19">
        <v>0</v>
      </c>
      <c r="O147" s="19">
        <v>0</v>
      </c>
      <c r="P147" s="19">
        <f>SUM(H147:J147)</f>
        <v>0</v>
      </c>
    </row>
    <row r="148" spans="1:16" ht="19.5" customHeight="1">
      <c r="A148" s="479" t="s">
        <v>191</v>
      </c>
      <c r="B148" s="479"/>
      <c r="C148" s="479"/>
      <c r="D148" s="479"/>
      <c r="E148" s="71"/>
      <c r="F148" s="71"/>
      <c r="G148" s="71"/>
      <c r="H148" s="28"/>
      <c r="I148" s="23"/>
      <c r="J148" s="23"/>
      <c r="K148" s="24"/>
      <c r="L148" s="24"/>
      <c r="M148" s="23"/>
      <c r="N148" s="3">
        <v>0</v>
      </c>
      <c r="O148" s="3">
        <v>0</v>
      </c>
      <c r="P148" s="19"/>
    </row>
    <row r="149" spans="1:16" s="13" customFormat="1" ht="15">
      <c r="A149" s="13" t="s">
        <v>80</v>
      </c>
      <c r="B149" s="11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P149" s="19"/>
    </row>
    <row r="150" spans="1:16" s="13" customFormat="1" ht="14.25" customHeight="1">
      <c r="A150" s="468" t="s">
        <v>78</v>
      </c>
      <c r="B150" s="470" t="s">
        <v>3</v>
      </c>
      <c r="C150" s="470" t="s">
        <v>74</v>
      </c>
      <c r="D150" s="465" t="s">
        <v>169</v>
      </c>
      <c r="E150" s="465" t="s">
        <v>170</v>
      </c>
      <c r="F150" s="465" t="s">
        <v>171</v>
      </c>
      <c r="G150" s="465" t="s">
        <v>75</v>
      </c>
      <c r="H150" s="465" t="s">
        <v>75</v>
      </c>
      <c r="I150" s="12"/>
      <c r="J150" s="12"/>
      <c r="K150" s="12"/>
      <c r="L150" s="12"/>
      <c r="M150" s="12"/>
      <c r="P150" s="19"/>
    </row>
    <row r="151" spans="1:16" s="13" customFormat="1" ht="30" customHeight="1">
      <c r="A151" s="469"/>
      <c r="B151" s="471"/>
      <c r="C151" s="471"/>
      <c r="D151" s="466"/>
      <c r="E151" s="466"/>
      <c r="F151" s="466"/>
      <c r="G151" s="466"/>
      <c r="H151" s="466"/>
      <c r="I151" s="12"/>
      <c r="J151" s="12"/>
      <c r="K151" s="12"/>
      <c r="L151" s="12"/>
      <c r="M151" s="12"/>
      <c r="P151" s="19"/>
    </row>
    <row r="152" spans="1:16" s="13" customFormat="1" ht="28.5" customHeight="1">
      <c r="A152" s="473">
        <v>1</v>
      </c>
      <c r="B152" s="473"/>
      <c r="C152" s="73">
        <v>2</v>
      </c>
      <c r="D152" s="74">
        <v>3</v>
      </c>
      <c r="E152" s="74">
        <v>4</v>
      </c>
      <c r="F152" s="74">
        <v>5</v>
      </c>
      <c r="G152" s="74" t="s">
        <v>76</v>
      </c>
      <c r="H152" s="74" t="s">
        <v>77</v>
      </c>
      <c r="I152" s="12"/>
      <c r="J152" s="12"/>
      <c r="K152" s="12"/>
      <c r="L152" s="12"/>
      <c r="M152" s="12"/>
      <c r="P152" s="19"/>
    </row>
    <row r="153" spans="1:16" s="13" customFormat="1" ht="15">
      <c r="A153" s="202">
        <v>32</v>
      </c>
      <c r="B153" s="181" t="s">
        <v>11</v>
      </c>
      <c r="C153" s="159">
        <f>+C154+C159+C166+C175</f>
        <v>1017587.62</v>
      </c>
      <c r="D153" s="159">
        <f>SUM(D154,D159,D166,D175)</f>
        <v>973999.5399999999</v>
      </c>
      <c r="E153" s="159">
        <f>SUM(E154,E159,E166,E175)</f>
        <v>993159.7</v>
      </c>
      <c r="F153" s="159">
        <f>SUM(F154,F159,F166,F175)</f>
        <v>988882.94</v>
      </c>
      <c r="G153" s="390">
        <f aca="true" t="shared" si="8" ref="G153:G187">F153/C153*100</f>
        <v>97.1791441409242</v>
      </c>
      <c r="H153" s="391">
        <f aca="true" t="shared" si="9" ref="H153:H187">F153/E153*100</f>
        <v>99.56937841920086</v>
      </c>
      <c r="I153" s="12"/>
      <c r="J153" s="12"/>
      <c r="K153" s="12"/>
      <c r="L153" s="12"/>
      <c r="M153" s="12"/>
      <c r="P153" s="19"/>
    </row>
    <row r="154" spans="1:16" s="13" customFormat="1" ht="15">
      <c r="A154" s="205">
        <v>321</v>
      </c>
      <c r="B154" s="166" t="s">
        <v>12</v>
      </c>
      <c r="C154" s="206">
        <f>SUM(C155:C158)</f>
        <v>328444.34</v>
      </c>
      <c r="D154" s="206">
        <f>SUM(D155:D158)</f>
        <v>214000</v>
      </c>
      <c r="E154" s="206">
        <f>SUM(E155:E158)</f>
        <v>218308.91</v>
      </c>
      <c r="F154" s="206">
        <f>SUM(F155:F158)</f>
        <v>218308.91</v>
      </c>
      <c r="G154" s="163">
        <f t="shared" si="8"/>
        <v>66.46755124475581</v>
      </c>
      <c r="H154" s="387">
        <f t="shared" si="9"/>
        <v>100</v>
      </c>
      <c r="I154" s="12"/>
      <c r="J154" s="12"/>
      <c r="K154" s="12"/>
      <c r="L154" s="12"/>
      <c r="M154" s="12"/>
      <c r="P154" s="19"/>
    </row>
    <row r="155" spans="1:16" s="13" customFormat="1" ht="15">
      <c r="A155" s="334">
        <v>3211</v>
      </c>
      <c r="B155" s="21" t="s">
        <v>87</v>
      </c>
      <c r="C155" s="121">
        <v>38278.02</v>
      </c>
      <c r="D155" s="22">
        <v>10500</v>
      </c>
      <c r="E155" s="22">
        <v>7830.6</v>
      </c>
      <c r="F155" s="22">
        <v>7830.6</v>
      </c>
      <c r="G155" s="380">
        <f t="shared" si="8"/>
        <v>20.457170982198143</v>
      </c>
      <c r="H155" s="381">
        <f t="shared" si="9"/>
        <v>100</v>
      </c>
      <c r="I155" s="12"/>
      <c r="J155" s="12"/>
      <c r="K155" s="12"/>
      <c r="L155" s="12"/>
      <c r="M155" s="12"/>
      <c r="P155" s="19"/>
    </row>
    <row r="156" spans="1:16" s="13" customFormat="1" ht="30">
      <c r="A156" s="65">
        <v>3212</v>
      </c>
      <c r="B156" s="62" t="s">
        <v>13</v>
      </c>
      <c r="C156" s="66">
        <v>286954.32</v>
      </c>
      <c r="D156" s="63">
        <v>200000</v>
      </c>
      <c r="E156" s="63">
        <v>209427.31</v>
      </c>
      <c r="F156" s="63">
        <v>209427.31</v>
      </c>
      <c r="G156" s="32">
        <f>F156/C156*100</f>
        <v>72.98280437109293</v>
      </c>
      <c r="H156" s="342">
        <f>F156/E156*100</f>
        <v>100</v>
      </c>
      <c r="I156" s="12"/>
      <c r="J156" s="12"/>
      <c r="K156" s="12"/>
      <c r="L156" s="12"/>
      <c r="M156" s="12"/>
      <c r="P156" s="19"/>
    </row>
    <row r="157" spans="1:16" s="13" customFormat="1" ht="15">
      <c r="A157" s="65">
        <v>3213</v>
      </c>
      <c r="B157" s="62" t="s">
        <v>129</v>
      </c>
      <c r="C157" s="66">
        <v>3212</v>
      </c>
      <c r="D157" s="63">
        <v>3500</v>
      </c>
      <c r="E157" s="63">
        <v>1051</v>
      </c>
      <c r="F157" s="63">
        <v>1051</v>
      </c>
      <c r="G157" s="160">
        <f t="shared" si="8"/>
        <v>32.72104607721046</v>
      </c>
      <c r="H157" s="161">
        <f t="shared" si="9"/>
        <v>100</v>
      </c>
      <c r="I157" s="12"/>
      <c r="J157" s="12"/>
      <c r="K157" s="12"/>
      <c r="L157" s="12"/>
      <c r="M157" s="12"/>
      <c r="P157" s="19"/>
    </row>
    <row r="158" spans="1:16" s="13" customFormat="1" ht="15">
      <c r="A158" s="373">
        <v>3214</v>
      </c>
      <c r="B158" s="374" t="s">
        <v>130</v>
      </c>
      <c r="C158" s="375"/>
      <c r="D158" s="376"/>
      <c r="E158" s="376"/>
      <c r="F158" s="377"/>
      <c r="G158" s="380" t="e">
        <f t="shared" si="8"/>
        <v>#DIV/0!</v>
      </c>
      <c r="H158" s="381" t="e">
        <f t="shared" si="9"/>
        <v>#DIV/0!</v>
      </c>
      <c r="I158" s="12"/>
      <c r="J158" s="12"/>
      <c r="K158" s="12"/>
      <c r="L158" s="12"/>
      <c r="M158" s="12"/>
      <c r="P158" s="19"/>
    </row>
    <row r="159" spans="1:16" s="13" customFormat="1" ht="15">
      <c r="A159" s="378">
        <v>322</v>
      </c>
      <c r="B159" s="379" t="s">
        <v>14</v>
      </c>
      <c r="C159" s="370">
        <f>SUM(C160:C165)</f>
        <v>442234.38999999996</v>
      </c>
      <c r="D159" s="370">
        <f>SUM(D160:D165)</f>
        <v>500514.42</v>
      </c>
      <c r="E159" s="370">
        <f>SUM(E160:E165)</f>
        <v>489790.41</v>
      </c>
      <c r="F159" s="371">
        <f>SUM(F160:F165)</f>
        <v>489790.41</v>
      </c>
      <c r="G159" s="163">
        <f t="shared" si="8"/>
        <v>110.75357798383794</v>
      </c>
      <c r="H159" s="387">
        <f t="shared" si="9"/>
        <v>100</v>
      </c>
      <c r="I159" s="12"/>
      <c r="J159" s="12"/>
      <c r="K159" s="12"/>
      <c r="L159" s="12"/>
      <c r="M159" s="12"/>
      <c r="P159" s="19"/>
    </row>
    <row r="160" spans="1:16" s="13" customFormat="1" ht="15">
      <c r="A160" s="20">
        <v>3221</v>
      </c>
      <c r="B160" s="21" t="s">
        <v>15</v>
      </c>
      <c r="C160" s="121">
        <v>74963.15</v>
      </c>
      <c r="D160" s="22">
        <f>113000</f>
        <v>113000</v>
      </c>
      <c r="E160" s="22">
        <v>106593.82</v>
      </c>
      <c r="F160" s="22">
        <f>106593.82</f>
        <v>106593.82</v>
      </c>
      <c r="G160" s="32">
        <f t="shared" si="8"/>
        <v>142.19495845625485</v>
      </c>
      <c r="H160" s="342">
        <f t="shared" si="9"/>
        <v>100</v>
      </c>
      <c r="I160" s="12"/>
      <c r="J160" s="12"/>
      <c r="K160" s="12"/>
      <c r="L160" s="12"/>
      <c r="M160" s="12"/>
      <c r="P160" s="19"/>
    </row>
    <row r="161" spans="1:16" s="13" customFormat="1" ht="15">
      <c r="A161" s="20">
        <v>3222</v>
      </c>
      <c r="B161" s="21" t="s">
        <v>131</v>
      </c>
      <c r="C161" s="121">
        <v>98723.51</v>
      </c>
      <c r="D161" s="22">
        <f>95000</f>
        <v>95000</v>
      </c>
      <c r="E161" s="22">
        <v>81676.24</v>
      </c>
      <c r="F161" s="22">
        <f>81676.24</f>
        <v>81676.24</v>
      </c>
      <c r="G161" s="32">
        <f t="shared" si="8"/>
        <v>82.7323096595735</v>
      </c>
      <c r="H161" s="342">
        <f t="shared" si="9"/>
        <v>100</v>
      </c>
      <c r="I161" s="12"/>
      <c r="J161" s="12"/>
      <c r="K161" s="12"/>
      <c r="L161" s="12"/>
      <c r="M161" s="12"/>
      <c r="P161" s="19"/>
    </row>
    <row r="162" spans="1:16" s="13" customFormat="1" ht="15">
      <c r="A162" s="20">
        <v>3223</v>
      </c>
      <c r="B162" s="21" t="s">
        <v>91</v>
      </c>
      <c r="C162" s="121">
        <v>258294.18</v>
      </c>
      <c r="D162" s="22">
        <v>255350</v>
      </c>
      <c r="E162" s="22">
        <v>269051.36</v>
      </c>
      <c r="F162" s="22">
        <v>269051.36</v>
      </c>
      <c r="G162" s="32">
        <f t="shared" si="8"/>
        <v>104.16470088485927</v>
      </c>
      <c r="H162" s="342">
        <f t="shared" si="9"/>
        <v>100</v>
      </c>
      <c r="I162" s="12"/>
      <c r="J162" s="12"/>
      <c r="K162" s="12"/>
      <c r="L162" s="12"/>
      <c r="M162" s="12"/>
      <c r="P162" s="19"/>
    </row>
    <row r="163" spans="1:16" s="13" customFormat="1" ht="30">
      <c r="A163" s="20">
        <v>3224</v>
      </c>
      <c r="B163" s="21" t="s">
        <v>155</v>
      </c>
      <c r="C163" s="121">
        <v>6192.61</v>
      </c>
      <c r="D163" s="22">
        <v>12500</v>
      </c>
      <c r="E163" s="22">
        <v>16452.29</v>
      </c>
      <c r="F163" s="22">
        <v>16452.29</v>
      </c>
      <c r="G163" s="32">
        <f t="shared" si="8"/>
        <v>265.67618500115464</v>
      </c>
      <c r="H163" s="342">
        <f t="shared" si="9"/>
        <v>100</v>
      </c>
      <c r="I163" s="12"/>
      <c r="J163" s="12"/>
      <c r="K163" s="12"/>
      <c r="L163" s="12"/>
      <c r="M163" s="12"/>
      <c r="P163" s="19"/>
    </row>
    <row r="164" spans="1:16" s="13" customFormat="1" ht="15">
      <c r="A164" s="20">
        <v>3225</v>
      </c>
      <c r="B164" s="21" t="s">
        <v>156</v>
      </c>
      <c r="C164" s="121"/>
      <c r="D164" s="22">
        <v>12664.42</v>
      </c>
      <c r="E164" s="22">
        <v>8689.45</v>
      </c>
      <c r="F164" s="22">
        <f>8689.45</f>
        <v>8689.45</v>
      </c>
      <c r="G164" s="32" t="e">
        <f t="shared" si="8"/>
        <v>#DIV/0!</v>
      </c>
      <c r="H164" s="342">
        <f t="shared" si="9"/>
        <v>100</v>
      </c>
      <c r="I164" s="12"/>
      <c r="J164" s="12"/>
      <c r="K164" s="12"/>
      <c r="L164" s="12"/>
      <c r="M164" s="12"/>
      <c r="P164" s="19"/>
    </row>
    <row r="165" spans="1:16" s="13" customFormat="1" ht="15">
      <c r="A165" s="20">
        <v>3227</v>
      </c>
      <c r="B165" s="21" t="s">
        <v>133</v>
      </c>
      <c r="C165" s="121">
        <v>4060.94</v>
      </c>
      <c r="D165" s="22">
        <v>12000</v>
      </c>
      <c r="E165" s="22">
        <v>7327.25</v>
      </c>
      <c r="F165" s="22">
        <v>7327.25</v>
      </c>
      <c r="G165" s="32">
        <f t="shared" si="8"/>
        <v>180.43236295044989</v>
      </c>
      <c r="H165" s="342">
        <f t="shared" si="9"/>
        <v>100</v>
      </c>
      <c r="I165" s="12"/>
      <c r="J165" s="12"/>
      <c r="K165" s="12"/>
      <c r="L165" s="12"/>
      <c r="M165" s="12"/>
      <c r="P165" s="19"/>
    </row>
    <row r="166" spans="1:16" s="13" customFormat="1" ht="15">
      <c r="A166" s="382">
        <v>323</v>
      </c>
      <c r="B166" s="344" t="s">
        <v>16</v>
      </c>
      <c r="C166" s="383">
        <f>SUM(C167:C174)</f>
        <v>246658.89</v>
      </c>
      <c r="D166" s="383">
        <f>SUM(D167:D174)</f>
        <v>254615.12</v>
      </c>
      <c r="E166" s="383">
        <f>SUM(E167:E174)</f>
        <v>279733.62</v>
      </c>
      <c r="F166" s="383">
        <f>SUM(F167:F174)</f>
        <v>279733.62</v>
      </c>
      <c r="G166" s="163">
        <f t="shared" si="8"/>
        <v>113.40909707329014</v>
      </c>
      <c r="H166" s="387">
        <f t="shared" si="9"/>
        <v>100</v>
      </c>
      <c r="I166" s="12"/>
      <c r="J166" s="12"/>
      <c r="K166" s="12"/>
      <c r="L166" s="12"/>
      <c r="M166" s="12"/>
      <c r="P166" s="19"/>
    </row>
    <row r="167" spans="1:16" s="13" customFormat="1" ht="15">
      <c r="A167" s="20">
        <v>3231</v>
      </c>
      <c r="B167" s="21" t="s">
        <v>157</v>
      </c>
      <c r="C167" s="121">
        <v>26885.17</v>
      </c>
      <c r="D167" s="22">
        <v>25000</v>
      </c>
      <c r="E167" s="22">
        <v>23215.25</v>
      </c>
      <c r="F167" s="22">
        <v>23215.25</v>
      </c>
      <c r="G167" s="32">
        <f t="shared" si="8"/>
        <v>86.34964926760739</v>
      </c>
      <c r="H167" s="342">
        <f t="shared" si="9"/>
        <v>100</v>
      </c>
      <c r="I167" s="12"/>
      <c r="J167" s="12"/>
      <c r="K167" s="12"/>
      <c r="L167" s="12"/>
      <c r="M167" s="12"/>
      <c r="P167" s="19"/>
    </row>
    <row r="168" spans="1:16" s="13" customFormat="1" ht="15">
      <c r="A168" s="20">
        <v>3232</v>
      </c>
      <c r="B168" s="21" t="s">
        <v>98</v>
      </c>
      <c r="C168" s="121">
        <v>35680.39</v>
      </c>
      <c r="D168" s="22">
        <v>45000</v>
      </c>
      <c r="E168" s="22">
        <v>86478.41</v>
      </c>
      <c r="F168" s="22">
        <v>86478.41</v>
      </c>
      <c r="G168" s="32">
        <f t="shared" si="8"/>
        <v>242.36957611730142</v>
      </c>
      <c r="H168" s="342">
        <f t="shared" si="9"/>
        <v>100</v>
      </c>
      <c r="I168" s="12"/>
      <c r="J168" s="12"/>
      <c r="K168" s="12"/>
      <c r="L168" s="12"/>
      <c r="M168" s="12"/>
      <c r="P168" s="19"/>
    </row>
    <row r="169" spans="1:16" s="13" customFormat="1" ht="15">
      <c r="A169" s="20">
        <v>3234</v>
      </c>
      <c r="B169" s="21" t="s">
        <v>100</v>
      </c>
      <c r="C169" s="121">
        <v>146713.63</v>
      </c>
      <c r="D169" s="22">
        <v>134200.78</v>
      </c>
      <c r="E169" s="22">
        <v>134961.96</v>
      </c>
      <c r="F169" s="22">
        <v>134961.96</v>
      </c>
      <c r="G169" s="32">
        <f t="shared" si="8"/>
        <v>91.99006254565441</v>
      </c>
      <c r="H169" s="342">
        <f t="shared" si="9"/>
        <v>100</v>
      </c>
      <c r="I169" s="12"/>
      <c r="J169" s="12"/>
      <c r="K169" s="12"/>
      <c r="L169" s="12"/>
      <c r="M169" s="12"/>
      <c r="P169" s="19"/>
    </row>
    <row r="170" spans="1:16" s="13" customFormat="1" ht="15">
      <c r="A170" s="20">
        <v>3235</v>
      </c>
      <c r="B170" s="21" t="s">
        <v>158</v>
      </c>
      <c r="C170" s="121"/>
      <c r="D170" s="22"/>
      <c r="E170" s="22">
        <f>+D170</f>
        <v>0</v>
      </c>
      <c r="F170" s="22"/>
      <c r="G170" s="32" t="e">
        <f t="shared" si="8"/>
        <v>#DIV/0!</v>
      </c>
      <c r="H170" s="342" t="e">
        <f t="shared" si="9"/>
        <v>#DIV/0!</v>
      </c>
      <c r="I170" s="12"/>
      <c r="J170" s="12"/>
      <c r="K170" s="12"/>
      <c r="L170" s="12"/>
      <c r="M170" s="12"/>
      <c r="P170" s="19"/>
    </row>
    <row r="171" spans="1:16" s="13" customFormat="1" ht="15">
      <c r="A171" s="20">
        <v>3236</v>
      </c>
      <c r="B171" s="21" t="s">
        <v>135</v>
      </c>
      <c r="C171" s="121">
        <v>13500</v>
      </c>
      <c r="D171" s="22">
        <v>16000</v>
      </c>
      <c r="E171" s="22">
        <v>3800</v>
      </c>
      <c r="F171" s="22">
        <v>3800</v>
      </c>
      <c r="G171" s="32">
        <f t="shared" si="8"/>
        <v>28.14814814814815</v>
      </c>
      <c r="H171" s="342">
        <f t="shared" si="9"/>
        <v>100</v>
      </c>
      <c r="I171" s="12"/>
      <c r="J171" s="12"/>
      <c r="K171" s="12"/>
      <c r="L171" s="12"/>
      <c r="M171" s="12"/>
      <c r="P171" s="19"/>
    </row>
    <row r="172" spans="1:16" s="13" customFormat="1" ht="15">
      <c r="A172" s="20">
        <v>3237</v>
      </c>
      <c r="B172" s="21" t="s">
        <v>136</v>
      </c>
      <c r="C172" s="121">
        <v>6312.5</v>
      </c>
      <c r="D172" s="22">
        <v>5000</v>
      </c>
      <c r="E172" s="22">
        <v>3500</v>
      </c>
      <c r="F172" s="22">
        <v>3500</v>
      </c>
      <c r="G172" s="32">
        <f t="shared" si="8"/>
        <v>55.44554455445545</v>
      </c>
      <c r="H172" s="342">
        <f t="shared" si="9"/>
        <v>100</v>
      </c>
      <c r="I172" s="12"/>
      <c r="J172" s="12"/>
      <c r="K172" s="12"/>
      <c r="L172" s="12"/>
      <c r="M172" s="12"/>
      <c r="P172" s="19"/>
    </row>
    <row r="173" spans="1:16" s="13" customFormat="1" ht="15">
      <c r="A173" s="20">
        <v>3238</v>
      </c>
      <c r="B173" s="21" t="s">
        <v>102</v>
      </c>
      <c r="C173" s="121">
        <v>15754.2</v>
      </c>
      <c r="D173" s="22">
        <v>22414.34</v>
      </c>
      <c r="E173" s="22">
        <v>24180.61</v>
      </c>
      <c r="F173" s="22">
        <v>24180.61</v>
      </c>
      <c r="G173" s="160">
        <f t="shared" si="8"/>
        <v>153.48675273895216</v>
      </c>
      <c r="H173" s="161">
        <f t="shared" si="9"/>
        <v>100</v>
      </c>
      <c r="I173" s="12"/>
      <c r="J173" s="12"/>
      <c r="K173" s="12"/>
      <c r="L173" s="12"/>
      <c r="M173" s="12"/>
      <c r="P173" s="19"/>
    </row>
    <row r="174" spans="1:16" s="13" customFormat="1" ht="15">
      <c r="A174" s="20">
        <v>3239</v>
      </c>
      <c r="B174" s="21" t="s">
        <v>17</v>
      </c>
      <c r="C174" s="121">
        <v>1813</v>
      </c>
      <c r="D174" s="22">
        <v>7000</v>
      </c>
      <c r="E174" s="22">
        <v>3597.39</v>
      </c>
      <c r="F174" s="22">
        <v>3597.39</v>
      </c>
      <c r="G174" s="32">
        <f t="shared" si="8"/>
        <v>198.42195256480971</v>
      </c>
      <c r="H174" s="342">
        <f t="shared" si="9"/>
        <v>100</v>
      </c>
      <c r="I174" s="12"/>
      <c r="J174" s="12"/>
      <c r="K174" s="12"/>
      <c r="L174" s="12"/>
      <c r="M174" s="12"/>
      <c r="P174" s="19"/>
    </row>
    <row r="175" spans="1:16" s="13" customFormat="1" ht="15">
      <c r="A175" s="382">
        <v>329</v>
      </c>
      <c r="B175" s="344" t="s">
        <v>18</v>
      </c>
      <c r="C175" s="383">
        <f>SUM(C176:C180)</f>
        <v>250</v>
      </c>
      <c r="D175" s="383">
        <f>SUM(D176:D180)</f>
        <v>4870</v>
      </c>
      <c r="E175" s="383">
        <f>SUM(E176:E180)</f>
        <v>5326.76</v>
      </c>
      <c r="F175" s="383">
        <f>SUM(F176:F180)</f>
        <v>1050</v>
      </c>
      <c r="G175" s="163">
        <f t="shared" si="8"/>
        <v>420</v>
      </c>
      <c r="H175" s="387">
        <f t="shared" si="9"/>
        <v>19.711794787075068</v>
      </c>
      <c r="I175" s="12"/>
      <c r="J175" s="12"/>
      <c r="K175" s="12"/>
      <c r="L175" s="12"/>
      <c r="M175" s="12"/>
      <c r="P175" s="19"/>
    </row>
    <row r="176" spans="1:16" s="13" customFormat="1" ht="30">
      <c r="A176" s="20">
        <v>3291</v>
      </c>
      <c r="B176" s="21" t="s">
        <v>105</v>
      </c>
      <c r="C176" s="121"/>
      <c r="D176" s="22"/>
      <c r="E176" s="22"/>
      <c r="F176" s="22"/>
      <c r="G176" s="32" t="e">
        <f t="shared" si="8"/>
        <v>#DIV/0!</v>
      </c>
      <c r="H176" s="342" t="e">
        <f t="shared" si="9"/>
        <v>#DIV/0!</v>
      </c>
      <c r="I176" s="12"/>
      <c r="J176" s="12"/>
      <c r="K176" s="12"/>
      <c r="L176" s="12"/>
      <c r="M176" s="12"/>
      <c r="P176" s="19"/>
    </row>
    <row r="177" spans="1:16" s="13" customFormat="1" ht="15">
      <c r="A177" s="20">
        <v>3292</v>
      </c>
      <c r="B177" s="21" t="s">
        <v>185</v>
      </c>
      <c r="C177" s="121"/>
      <c r="D177" s="22">
        <v>4120</v>
      </c>
      <c r="E177" s="22">
        <v>4276.76</v>
      </c>
      <c r="F177" s="22"/>
      <c r="G177" s="32"/>
      <c r="H177" s="342"/>
      <c r="I177" s="12"/>
      <c r="J177" s="12"/>
      <c r="K177" s="12"/>
      <c r="L177" s="12"/>
      <c r="M177" s="12"/>
      <c r="P177" s="19"/>
    </row>
    <row r="178" spans="1:16" s="13" customFormat="1" ht="15">
      <c r="A178" s="20">
        <v>3294</v>
      </c>
      <c r="B178" s="21" t="s">
        <v>137</v>
      </c>
      <c r="C178" s="121">
        <v>250</v>
      </c>
      <c r="D178" s="22">
        <v>250</v>
      </c>
      <c r="E178" s="22">
        <f>+D178</f>
        <v>250</v>
      </c>
      <c r="F178" s="22">
        <v>250</v>
      </c>
      <c r="G178" s="32">
        <f t="shared" si="8"/>
        <v>100</v>
      </c>
      <c r="H178" s="342">
        <f t="shared" si="9"/>
        <v>100</v>
      </c>
      <c r="I178" s="12"/>
      <c r="J178" s="12"/>
      <c r="K178" s="12"/>
      <c r="L178" s="12"/>
      <c r="M178" s="12"/>
      <c r="P178" s="19"/>
    </row>
    <row r="179" spans="1:16" s="13" customFormat="1" ht="15">
      <c r="A179" s="20">
        <v>3295</v>
      </c>
      <c r="B179" s="21" t="s">
        <v>106</v>
      </c>
      <c r="C179" s="121"/>
      <c r="D179" s="22"/>
      <c r="E179" s="22"/>
      <c r="F179" s="22"/>
      <c r="G179" s="32" t="e">
        <f t="shared" si="8"/>
        <v>#DIV/0!</v>
      </c>
      <c r="H179" s="342" t="e">
        <f t="shared" si="9"/>
        <v>#DIV/0!</v>
      </c>
      <c r="I179" s="12"/>
      <c r="J179" s="12"/>
      <c r="K179" s="12"/>
      <c r="L179" s="12"/>
      <c r="M179" s="12"/>
      <c r="P179" s="19"/>
    </row>
    <row r="180" spans="1:16" s="13" customFormat="1" ht="15">
      <c r="A180" s="20">
        <v>3299</v>
      </c>
      <c r="B180" s="21" t="s">
        <v>18</v>
      </c>
      <c r="C180" s="121"/>
      <c r="D180" s="22">
        <v>500</v>
      </c>
      <c r="E180" s="22">
        <v>800</v>
      </c>
      <c r="F180" s="22">
        <v>800</v>
      </c>
      <c r="G180" s="32" t="e">
        <f t="shared" si="8"/>
        <v>#DIV/0!</v>
      </c>
      <c r="H180" s="342">
        <f t="shared" si="9"/>
        <v>100</v>
      </c>
      <c r="I180" s="12"/>
      <c r="J180" s="12"/>
      <c r="K180" s="12"/>
      <c r="L180" s="12"/>
      <c r="M180" s="12"/>
      <c r="P180" s="19"/>
    </row>
    <row r="181" spans="1:16" s="13" customFormat="1" ht="15">
      <c r="A181" s="224">
        <v>34</v>
      </c>
      <c r="B181" s="225" t="s">
        <v>19</v>
      </c>
      <c r="C181" s="384">
        <f>SUM(C182)</f>
        <v>3791.92</v>
      </c>
      <c r="D181" s="384">
        <f>SUM(D182)</f>
        <v>4000</v>
      </c>
      <c r="E181" s="384">
        <f>SUM(E182)</f>
        <v>4527.8</v>
      </c>
      <c r="F181" s="384">
        <f>SUM(F182)</f>
        <v>4527.8</v>
      </c>
      <c r="G181" s="159">
        <f t="shared" si="8"/>
        <v>119.40652756387267</v>
      </c>
      <c r="H181" s="388">
        <f t="shared" si="9"/>
        <v>100</v>
      </c>
      <c r="I181" s="12"/>
      <c r="J181" s="12"/>
      <c r="K181" s="12"/>
      <c r="L181" s="12"/>
      <c r="M181" s="12"/>
      <c r="P181" s="19"/>
    </row>
    <row r="182" spans="1:16" s="13" customFormat="1" ht="15">
      <c r="A182" s="382">
        <v>343</v>
      </c>
      <c r="B182" s="344" t="s">
        <v>20</v>
      </c>
      <c r="C182" s="383">
        <f>SUM(C183,C184)</f>
        <v>3791.92</v>
      </c>
      <c r="D182" s="383">
        <f>SUM(D183,D184)</f>
        <v>4000</v>
      </c>
      <c r="E182" s="383">
        <f>SUM(E183,E184)</f>
        <v>4527.8</v>
      </c>
      <c r="F182" s="383">
        <f>SUM(F183,F184)</f>
        <v>4527.8</v>
      </c>
      <c r="G182" s="163">
        <f t="shared" si="8"/>
        <v>119.40652756387267</v>
      </c>
      <c r="H182" s="387">
        <f t="shared" si="9"/>
        <v>100</v>
      </c>
      <c r="I182" s="12"/>
      <c r="J182" s="12"/>
      <c r="K182" s="12"/>
      <c r="L182" s="12"/>
      <c r="M182" s="12"/>
      <c r="P182" s="19"/>
    </row>
    <row r="183" spans="1:16" s="13" customFormat="1" ht="15">
      <c r="A183" s="20">
        <v>3431</v>
      </c>
      <c r="B183" s="21" t="s">
        <v>109</v>
      </c>
      <c r="C183" s="121">
        <v>3791.92</v>
      </c>
      <c r="D183" s="22">
        <v>4000</v>
      </c>
      <c r="E183" s="22">
        <v>4527.8</v>
      </c>
      <c r="F183" s="22">
        <v>4527.8</v>
      </c>
      <c r="G183" s="32">
        <f t="shared" si="8"/>
        <v>119.40652756387267</v>
      </c>
      <c r="H183" s="342">
        <f t="shared" si="9"/>
        <v>100</v>
      </c>
      <c r="I183" s="12"/>
      <c r="J183" s="12"/>
      <c r="K183" s="12"/>
      <c r="L183" s="12"/>
      <c r="M183" s="12"/>
      <c r="P183" s="19"/>
    </row>
    <row r="184" spans="1:16" s="13" customFormat="1" ht="15">
      <c r="A184" s="20">
        <v>3433</v>
      </c>
      <c r="B184" s="21" t="s">
        <v>143</v>
      </c>
      <c r="C184" s="121"/>
      <c r="D184" s="22"/>
      <c r="E184" s="22"/>
      <c r="F184" s="22"/>
      <c r="G184" s="32" t="e">
        <f t="shared" si="8"/>
        <v>#DIV/0!</v>
      </c>
      <c r="H184" s="342" t="e">
        <f t="shared" si="9"/>
        <v>#DIV/0!</v>
      </c>
      <c r="I184" s="12"/>
      <c r="J184" s="12"/>
      <c r="K184" s="12"/>
      <c r="L184" s="12"/>
      <c r="M184" s="12"/>
      <c r="P184" s="19"/>
    </row>
    <row r="185" spans="1:16" s="13" customFormat="1" ht="30">
      <c r="A185" s="224">
        <v>37</v>
      </c>
      <c r="B185" s="385" t="s">
        <v>162</v>
      </c>
      <c r="C185" s="384">
        <f>SUM(C186)</f>
        <v>0</v>
      </c>
      <c r="D185" s="384">
        <f aca="true" t="shared" si="10" ref="D185:F186">SUM(D186)</f>
        <v>22000</v>
      </c>
      <c r="E185" s="384">
        <f t="shared" si="10"/>
        <v>22000</v>
      </c>
      <c r="F185" s="384">
        <f t="shared" si="10"/>
        <v>22000</v>
      </c>
      <c r="G185" s="158" t="e">
        <f t="shared" si="8"/>
        <v>#DIV/0!</v>
      </c>
      <c r="H185" s="182">
        <f t="shared" si="9"/>
        <v>100</v>
      </c>
      <c r="I185" s="12"/>
      <c r="J185" s="12"/>
      <c r="K185" s="12"/>
      <c r="L185" s="12"/>
      <c r="M185" s="12"/>
      <c r="P185" s="19"/>
    </row>
    <row r="186" spans="1:16" s="13" customFormat="1" ht="30">
      <c r="A186" s="382">
        <v>372</v>
      </c>
      <c r="B186" s="286" t="s">
        <v>163</v>
      </c>
      <c r="C186" s="386">
        <f>SUM(C187)</f>
        <v>0</v>
      </c>
      <c r="D186" s="386">
        <f t="shared" si="10"/>
        <v>22000</v>
      </c>
      <c r="E186" s="386">
        <f t="shared" si="10"/>
        <v>22000</v>
      </c>
      <c r="F186" s="386">
        <f t="shared" si="10"/>
        <v>22000</v>
      </c>
      <c r="G186" s="162" t="e">
        <f t="shared" si="8"/>
        <v>#DIV/0!</v>
      </c>
      <c r="H186" s="183">
        <f t="shared" si="9"/>
        <v>100</v>
      </c>
      <c r="I186" s="12"/>
      <c r="J186" s="12"/>
      <c r="K186" s="12"/>
      <c r="L186" s="12"/>
      <c r="M186" s="12"/>
      <c r="P186" s="19"/>
    </row>
    <row r="187" spans="1:16" s="13" customFormat="1" ht="15">
      <c r="A187" s="154">
        <v>3722</v>
      </c>
      <c r="B187" s="263" t="s">
        <v>146</v>
      </c>
      <c r="C187" s="157">
        <v>0</v>
      </c>
      <c r="D187" s="23">
        <v>22000</v>
      </c>
      <c r="E187" s="23">
        <f>+D187</f>
        <v>22000</v>
      </c>
      <c r="F187" s="23">
        <v>22000</v>
      </c>
      <c r="G187" s="194" t="e">
        <f t="shared" si="8"/>
        <v>#DIV/0!</v>
      </c>
      <c r="H187" s="195">
        <f t="shared" si="9"/>
        <v>100</v>
      </c>
      <c r="I187" s="12"/>
      <c r="J187" s="12"/>
      <c r="K187" s="12"/>
      <c r="L187" s="12"/>
      <c r="M187" s="12"/>
      <c r="P187" s="19"/>
    </row>
    <row r="188" spans="1:16" s="13" customFormat="1" ht="15">
      <c r="A188" s="503" t="s">
        <v>6</v>
      </c>
      <c r="B188" s="504"/>
      <c r="C188" s="185">
        <f>+C185+C181+C153</f>
        <v>1021379.54</v>
      </c>
      <c r="D188" s="185">
        <f>+D185+D181+D153</f>
        <v>999999.5399999999</v>
      </c>
      <c r="E188" s="185">
        <f>+E185+E181+E153</f>
        <v>1019687.5</v>
      </c>
      <c r="F188" s="185">
        <f>+F185+F181+F153</f>
        <v>1015410.74</v>
      </c>
      <c r="G188" s="198">
        <f>F188/C188*100</f>
        <v>99.41561390587479</v>
      </c>
      <c r="H188" s="199">
        <f>F188/E188*100</f>
        <v>99.58058130554704</v>
      </c>
      <c r="I188" s="12"/>
      <c r="J188" s="12"/>
      <c r="K188" s="12"/>
      <c r="L188" s="12"/>
      <c r="M188" s="12"/>
      <c r="P188" s="19"/>
    </row>
    <row r="189" spans="1:16" s="13" customFormat="1" ht="15">
      <c r="A189" s="11"/>
      <c r="B189" s="11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P189" s="19"/>
    </row>
    <row r="190" spans="1:16" s="13" customFormat="1" ht="15">
      <c r="A190" s="207" t="s">
        <v>82</v>
      </c>
      <c r="B190" s="208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P190" s="19"/>
    </row>
    <row r="191" spans="1:16" s="13" customFormat="1" ht="15" customHeight="1">
      <c r="A191" s="468" t="s">
        <v>78</v>
      </c>
      <c r="B191" s="470" t="s">
        <v>3</v>
      </c>
      <c r="C191" s="470" t="s">
        <v>74</v>
      </c>
      <c r="D191" s="465" t="s">
        <v>169</v>
      </c>
      <c r="E191" s="465" t="s">
        <v>170</v>
      </c>
      <c r="F191" s="465" t="s">
        <v>171</v>
      </c>
      <c r="G191" s="465" t="s">
        <v>75</v>
      </c>
      <c r="H191" s="465" t="s">
        <v>75</v>
      </c>
      <c r="I191" s="12"/>
      <c r="J191" s="12"/>
      <c r="K191" s="12"/>
      <c r="L191" s="12"/>
      <c r="M191" s="12"/>
      <c r="P191" s="19"/>
    </row>
    <row r="192" spans="1:16" s="13" customFormat="1" ht="35.25" customHeight="1">
      <c r="A192" s="469"/>
      <c r="B192" s="471"/>
      <c r="C192" s="471"/>
      <c r="D192" s="466"/>
      <c r="E192" s="466"/>
      <c r="F192" s="466"/>
      <c r="G192" s="466"/>
      <c r="H192" s="466"/>
      <c r="I192" s="12"/>
      <c r="J192" s="12"/>
      <c r="K192" s="12"/>
      <c r="L192" s="12"/>
      <c r="M192" s="12"/>
      <c r="P192" s="19"/>
    </row>
    <row r="193" spans="1:16" s="13" customFormat="1" ht="15">
      <c r="A193" s="473">
        <v>1</v>
      </c>
      <c r="B193" s="473"/>
      <c r="C193" s="73">
        <v>2</v>
      </c>
      <c r="D193" s="74">
        <v>3</v>
      </c>
      <c r="E193" s="74">
        <v>4</v>
      </c>
      <c r="F193" s="74">
        <v>5</v>
      </c>
      <c r="G193" s="74" t="s">
        <v>76</v>
      </c>
      <c r="H193" s="74" t="s">
        <v>77</v>
      </c>
      <c r="I193" s="12"/>
      <c r="J193" s="12"/>
      <c r="K193" s="12"/>
      <c r="L193" s="12"/>
      <c r="M193" s="12"/>
      <c r="P193" s="19"/>
    </row>
    <row r="194" spans="1:16" s="13" customFormat="1" ht="15">
      <c r="A194" s="212">
        <v>31</v>
      </c>
      <c r="B194" s="179" t="s">
        <v>7</v>
      </c>
      <c r="C194" s="213">
        <f>SUM(C195)</f>
        <v>0</v>
      </c>
      <c r="D194" s="213">
        <f>SUM(D195)</f>
        <v>13400</v>
      </c>
      <c r="E194" s="213">
        <f>SUM(E195)</f>
        <v>13400</v>
      </c>
      <c r="F194" s="213">
        <f>SUM(F195)</f>
        <v>14273.9</v>
      </c>
      <c r="G194" s="390" t="e">
        <f>F194/C194*100</f>
        <v>#DIV/0!</v>
      </c>
      <c r="H194" s="391">
        <f>F194/E194*100</f>
        <v>106.52164179104477</v>
      </c>
      <c r="I194" s="12"/>
      <c r="J194" s="12"/>
      <c r="K194" s="12"/>
      <c r="L194" s="12"/>
      <c r="M194" s="12"/>
      <c r="P194" s="19"/>
    </row>
    <row r="195" spans="1:16" s="13" customFormat="1" ht="15">
      <c r="A195" s="215">
        <v>312</v>
      </c>
      <c r="B195" s="166" t="s">
        <v>166</v>
      </c>
      <c r="C195" s="216">
        <f>SUM(C196)</f>
        <v>0</v>
      </c>
      <c r="D195" s="216">
        <f>+D196+D197</f>
        <v>13400</v>
      </c>
      <c r="E195" s="216">
        <f>+E196+E197</f>
        <v>13400</v>
      </c>
      <c r="F195" s="216">
        <f>+F196+F197</f>
        <v>14273.9</v>
      </c>
      <c r="G195" s="163" t="e">
        <f aca="true" t="shared" si="11" ref="G195:G210">F195/C195*100</f>
        <v>#DIV/0!</v>
      </c>
      <c r="H195" s="387">
        <f aca="true" t="shared" si="12" ref="H195:H210">F195/E195*100</f>
        <v>106.52164179104477</v>
      </c>
      <c r="I195" s="12"/>
      <c r="J195" s="12"/>
      <c r="K195" s="12"/>
      <c r="L195" s="12"/>
      <c r="M195" s="12"/>
      <c r="P195" s="19"/>
    </row>
    <row r="196" spans="1:16" s="13" customFormat="1" ht="15">
      <c r="A196" s="20">
        <v>3121</v>
      </c>
      <c r="B196" s="21" t="s">
        <v>166</v>
      </c>
      <c r="C196" s="84"/>
      <c r="D196" s="22">
        <v>13400</v>
      </c>
      <c r="E196" s="22">
        <f>+D196</f>
        <v>13400</v>
      </c>
      <c r="F196" s="22">
        <v>14026.4</v>
      </c>
      <c r="G196" s="32" t="e">
        <f t="shared" si="11"/>
        <v>#DIV/0!</v>
      </c>
      <c r="H196" s="342">
        <f t="shared" si="12"/>
        <v>104.67462686567164</v>
      </c>
      <c r="I196" s="12"/>
      <c r="J196" s="12"/>
      <c r="K196" s="12"/>
      <c r="L196" s="12"/>
      <c r="M196" s="12"/>
      <c r="P196" s="19"/>
    </row>
    <row r="197" spans="1:16" s="13" customFormat="1" ht="15">
      <c r="A197" s="20">
        <v>3132</v>
      </c>
      <c r="B197" s="21" t="s">
        <v>84</v>
      </c>
      <c r="C197" s="84"/>
      <c r="D197" s="22">
        <v>0</v>
      </c>
      <c r="E197" s="22">
        <f>+D197</f>
        <v>0</v>
      </c>
      <c r="F197" s="22">
        <v>247.5</v>
      </c>
      <c r="G197" s="32"/>
      <c r="H197" s="342"/>
      <c r="I197" s="12"/>
      <c r="J197" s="12"/>
      <c r="K197" s="12"/>
      <c r="L197" s="12"/>
      <c r="M197" s="12"/>
      <c r="P197" s="19"/>
    </row>
    <row r="198" spans="1:16" s="13" customFormat="1" ht="15">
      <c r="A198" s="202">
        <v>32</v>
      </c>
      <c r="B198" s="181" t="s">
        <v>11</v>
      </c>
      <c r="C198" s="214">
        <f>+C199+C202+C207+C210+C212</f>
        <v>49777.73</v>
      </c>
      <c r="D198" s="214">
        <f>+D199+D202+D207+D210</f>
        <v>10018</v>
      </c>
      <c r="E198" s="214">
        <f>+E199+E202+E207+E210</f>
        <v>10018</v>
      </c>
      <c r="F198" s="214">
        <f>+F199+F202+F207+F210</f>
        <v>4979.84</v>
      </c>
      <c r="G198" s="159">
        <f t="shared" si="11"/>
        <v>10.004152459342762</v>
      </c>
      <c r="H198" s="388">
        <f t="shared" si="12"/>
        <v>49.70892393691356</v>
      </c>
      <c r="I198" s="12"/>
      <c r="J198" s="12"/>
      <c r="K198" s="12"/>
      <c r="L198" s="12"/>
      <c r="M198" s="12"/>
      <c r="P198" s="19"/>
    </row>
    <row r="199" spans="1:16" s="13" customFormat="1" ht="15">
      <c r="A199" s="205">
        <v>321</v>
      </c>
      <c r="B199" s="166" t="s">
        <v>12</v>
      </c>
      <c r="C199" s="216">
        <f>SUM(C200:C201)</f>
        <v>48351.97</v>
      </c>
      <c r="D199" s="216">
        <f>SUM(D200:D201)</f>
        <v>7357.8</v>
      </c>
      <c r="E199" s="216">
        <f>SUM(E200:E201)</f>
        <v>7357.8</v>
      </c>
      <c r="F199" s="216">
        <f>SUM(F200:F201)</f>
        <v>1671.6599999999999</v>
      </c>
      <c r="G199" s="163">
        <f t="shared" si="11"/>
        <v>3.457273819453478</v>
      </c>
      <c r="H199" s="387">
        <f t="shared" si="12"/>
        <v>22.7195629128272</v>
      </c>
      <c r="I199" s="12"/>
      <c r="J199" s="12"/>
      <c r="K199" s="12"/>
      <c r="L199" s="12"/>
      <c r="M199" s="12"/>
      <c r="P199" s="19"/>
    </row>
    <row r="200" spans="1:16" s="13" customFormat="1" ht="15">
      <c r="A200" s="235">
        <v>3211</v>
      </c>
      <c r="B200" s="236" t="s">
        <v>87</v>
      </c>
      <c r="C200" s="91">
        <v>45020.97</v>
      </c>
      <c r="D200" s="32">
        <v>3857.8</v>
      </c>
      <c r="E200" s="32">
        <f>+D200</f>
        <v>3857.8</v>
      </c>
      <c r="F200" s="32">
        <v>98.56</v>
      </c>
      <c r="G200" s="32">
        <f t="shared" si="11"/>
        <v>0.2189202054065028</v>
      </c>
      <c r="H200" s="342">
        <f t="shared" si="12"/>
        <v>2.5548239929493493</v>
      </c>
      <c r="I200" s="12"/>
      <c r="J200" s="12"/>
      <c r="K200" s="12"/>
      <c r="L200" s="12"/>
      <c r="M200" s="12"/>
      <c r="P200" s="19"/>
    </row>
    <row r="201" spans="1:16" s="13" customFormat="1" ht="15">
      <c r="A201" s="235">
        <v>3213</v>
      </c>
      <c r="B201" s="236" t="s">
        <v>129</v>
      </c>
      <c r="C201" s="91">
        <v>3331</v>
      </c>
      <c r="D201" s="32">
        <v>3500</v>
      </c>
      <c r="E201" s="32">
        <f>+D201</f>
        <v>3500</v>
      </c>
      <c r="F201" s="32">
        <v>1573.1</v>
      </c>
      <c r="G201" s="32">
        <f t="shared" si="11"/>
        <v>47.22605824076854</v>
      </c>
      <c r="H201" s="342">
        <f t="shared" si="12"/>
        <v>44.94571428571428</v>
      </c>
      <c r="I201" s="12"/>
      <c r="J201" s="12"/>
      <c r="K201" s="12"/>
      <c r="L201" s="12"/>
      <c r="M201" s="12"/>
      <c r="P201" s="19"/>
    </row>
    <row r="202" spans="1:16" s="13" customFormat="1" ht="15">
      <c r="A202" s="205">
        <v>322</v>
      </c>
      <c r="B202" s="166" t="s">
        <v>14</v>
      </c>
      <c r="C202" s="216">
        <f>SUM(C203:C206)</f>
        <v>0</v>
      </c>
      <c r="D202" s="216">
        <f>SUM(D203:D206)</f>
        <v>0</v>
      </c>
      <c r="E202" s="216">
        <f>SUM(E203:E206)</f>
        <v>0</v>
      </c>
      <c r="F202" s="216">
        <f>SUM(F203:F206)</f>
        <v>1897.98</v>
      </c>
      <c r="G202" s="163" t="e">
        <f t="shared" si="11"/>
        <v>#DIV/0!</v>
      </c>
      <c r="H202" s="387" t="e">
        <f t="shared" si="12"/>
        <v>#DIV/0!</v>
      </c>
      <c r="I202" s="12"/>
      <c r="J202" s="12"/>
      <c r="K202" s="12"/>
      <c r="L202" s="12"/>
      <c r="M202" s="12"/>
      <c r="P202" s="19"/>
    </row>
    <row r="203" spans="1:13" s="41" customFormat="1" ht="15">
      <c r="A203" s="20">
        <v>3221</v>
      </c>
      <c r="B203" s="21" t="s">
        <v>15</v>
      </c>
      <c r="C203" s="123"/>
      <c r="D203" s="66"/>
      <c r="E203" s="66"/>
      <c r="F203" s="121"/>
      <c r="G203" s="32" t="e">
        <f t="shared" si="11"/>
        <v>#DIV/0!</v>
      </c>
      <c r="H203" s="342" t="e">
        <f t="shared" si="12"/>
        <v>#DIV/0!</v>
      </c>
      <c r="I203" s="23"/>
      <c r="J203" s="23"/>
      <c r="K203" s="23"/>
      <c r="L203" s="23"/>
      <c r="M203" s="23"/>
    </row>
    <row r="204" spans="1:13" s="41" customFormat="1" ht="15">
      <c r="A204" s="20">
        <v>3222</v>
      </c>
      <c r="B204" s="21" t="s">
        <v>159</v>
      </c>
      <c r="C204" s="123"/>
      <c r="D204" s="66"/>
      <c r="E204" s="66"/>
      <c r="F204" s="121"/>
      <c r="G204" s="32" t="e">
        <f t="shared" si="11"/>
        <v>#DIV/0!</v>
      </c>
      <c r="H204" s="342" t="e">
        <f t="shared" si="12"/>
        <v>#DIV/0!</v>
      </c>
      <c r="I204" s="23"/>
      <c r="J204" s="23"/>
      <c r="K204" s="23"/>
      <c r="L204" s="23"/>
      <c r="M204" s="23"/>
    </row>
    <row r="205" spans="1:13" s="41" customFormat="1" ht="15">
      <c r="A205" s="20">
        <v>3223</v>
      </c>
      <c r="B205" s="21" t="s">
        <v>91</v>
      </c>
      <c r="C205" s="123"/>
      <c r="D205" s="66"/>
      <c r="E205" s="66"/>
      <c r="F205" s="121">
        <v>1897.98</v>
      </c>
      <c r="G205" s="32" t="e">
        <f t="shared" si="11"/>
        <v>#DIV/0!</v>
      </c>
      <c r="H205" s="342" t="e">
        <f t="shared" si="12"/>
        <v>#DIV/0!</v>
      </c>
      <c r="I205" s="23"/>
      <c r="J205" s="23"/>
      <c r="K205" s="23"/>
      <c r="L205" s="23"/>
      <c r="M205" s="23"/>
    </row>
    <row r="206" spans="1:13" s="90" customFormat="1" ht="15" customHeight="1">
      <c r="A206" s="65">
        <v>3224</v>
      </c>
      <c r="B206" s="62" t="s">
        <v>155</v>
      </c>
      <c r="C206" s="63"/>
      <c r="D206" s="66"/>
      <c r="E206" s="66"/>
      <c r="F206" s="66"/>
      <c r="G206" s="32" t="e">
        <f t="shared" si="11"/>
        <v>#DIV/0!</v>
      </c>
      <c r="H206" s="342" t="e">
        <f t="shared" si="12"/>
        <v>#DIV/0!</v>
      </c>
      <c r="I206" s="23"/>
      <c r="J206" s="23"/>
      <c r="K206" s="23"/>
      <c r="L206" s="23"/>
      <c r="M206" s="23"/>
    </row>
    <row r="207" spans="1:13" s="90" customFormat="1" ht="15" customHeight="1">
      <c r="A207" s="227">
        <v>323</v>
      </c>
      <c r="B207" s="228" t="s">
        <v>16</v>
      </c>
      <c r="C207" s="169">
        <f>+C208+C209</f>
        <v>0</v>
      </c>
      <c r="D207" s="169">
        <f>SUM(D208:D209)</f>
        <v>1600</v>
      </c>
      <c r="E207" s="169">
        <f>SUM(E208:E209)</f>
        <v>1600</v>
      </c>
      <c r="F207" s="169">
        <f>SUM(F208:F209)</f>
        <v>350</v>
      </c>
      <c r="G207" s="163" t="e">
        <f t="shared" si="11"/>
        <v>#DIV/0!</v>
      </c>
      <c r="H207" s="387">
        <f t="shared" si="12"/>
        <v>21.875</v>
      </c>
      <c r="I207" s="23"/>
      <c r="J207" s="23"/>
      <c r="K207" s="23"/>
      <c r="L207" s="23"/>
      <c r="M207" s="23"/>
    </row>
    <row r="208" spans="1:13" s="90" customFormat="1" ht="15" customHeight="1">
      <c r="A208" s="20">
        <v>3233</v>
      </c>
      <c r="B208" s="21" t="s">
        <v>186</v>
      </c>
      <c r="C208" s="22"/>
      <c r="D208" s="121"/>
      <c r="E208" s="121"/>
      <c r="F208" s="121">
        <v>350</v>
      </c>
      <c r="G208" s="32" t="e">
        <f t="shared" si="11"/>
        <v>#DIV/0!</v>
      </c>
      <c r="H208" s="342" t="e">
        <f t="shared" si="12"/>
        <v>#DIV/0!</v>
      </c>
      <c r="I208" s="23"/>
      <c r="J208" s="23"/>
      <c r="K208" s="23"/>
      <c r="L208" s="23"/>
      <c r="M208" s="23"/>
    </row>
    <row r="209" spans="1:13" s="90" customFormat="1" ht="15" customHeight="1">
      <c r="A209" s="20">
        <v>3237</v>
      </c>
      <c r="B209" s="21" t="s">
        <v>136</v>
      </c>
      <c r="C209" s="22"/>
      <c r="D209" s="121">
        <v>1600</v>
      </c>
      <c r="E209" s="121">
        <v>1600</v>
      </c>
      <c r="F209" s="121">
        <v>0</v>
      </c>
      <c r="G209" s="32" t="e">
        <f t="shared" si="11"/>
        <v>#DIV/0!</v>
      </c>
      <c r="H209" s="342">
        <f t="shared" si="12"/>
        <v>0</v>
      </c>
      <c r="I209" s="23"/>
      <c r="J209" s="23"/>
      <c r="K209" s="23"/>
      <c r="L209" s="23"/>
      <c r="M209" s="23"/>
    </row>
    <row r="210" spans="1:13" s="90" customFormat="1" ht="15" customHeight="1">
      <c r="A210" s="227">
        <v>324</v>
      </c>
      <c r="B210" s="286" t="s">
        <v>184</v>
      </c>
      <c r="C210" s="169">
        <f>+C211</f>
        <v>1255.76</v>
      </c>
      <c r="D210" s="169">
        <f>+D211</f>
        <v>1060.2</v>
      </c>
      <c r="E210" s="169">
        <f>+E211</f>
        <v>1060.2</v>
      </c>
      <c r="F210" s="169">
        <f>+F211</f>
        <v>1060.2</v>
      </c>
      <c r="G210" s="163">
        <f t="shared" si="11"/>
        <v>84.42696056571319</v>
      </c>
      <c r="H210" s="387">
        <f t="shared" si="12"/>
        <v>100</v>
      </c>
      <c r="I210" s="23"/>
      <c r="J210" s="23"/>
      <c r="K210" s="23"/>
      <c r="L210" s="23"/>
      <c r="M210" s="23"/>
    </row>
    <row r="211" spans="1:13" s="90" customFormat="1" ht="15" customHeight="1">
      <c r="A211" s="20">
        <v>3241</v>
      </c>
      <c r="B211" s="389" t="s">
        <v>184</v>
      </c>
      <c r="C211" s="22">
        <v>1255.76</v>
      </c>
      <c r="D211" s="121">
        <v>1060.2</v>
      </c>
      <c r="E211" s="121">
        <f>+D211</f>
        <v>1060.2</v>
      </c>
      <c r="F211" s="121">
        <v>1060.2</v>
      </c>
      <c r="G211" s="32">
        <f>F211/C211*100</f>
        <v>84.42696056571319</v>
      </c>
      <c r="H211" s="342">
        <f>F211/E211*100</f>
        <v>100</v>
      </c>
      <c r="I211" s="23"/>
      <c r="J211" s="23"/>
      <c r="K211" s="23"/>
      <c r="L211" s="23"/>
      <c r="M211" s="23"/>
    </row>
    <row r="212" spans="1:13" s="90" customFormat="1" ht="15" customHeight="1">
      <c r="A212" s="227">
        <v>329</v>
      </c>
      <c r="B212" s="286" t="s">
        <v>18</v>
      </c>
      <c r="C212" s="169">
        <f>+C213</f>
        <v>170</v>
      </c>
      <c r="D212" s="383"/>
      <c r="E212" s="383"/>
      <c r="F212" s="383"/>
      <c r="G212" s="169"/>
      <c r="H212" s="367"/>
      <c r="I212" s="23"/>
      <c r="J212" s="23"/>
      <c r="K212" s="23"/>
      <c r="L212" s="23"/>
      <c r="M212" s="23"/>
    </row>
    <row r="213" spans="1:13" s="90" customFormat="1" ht="15" customHeight="1">
      <c r="A213" s="154">
        <v>3295</v>
      </c>
      <c r="B213" s="315" t="s">
        <v>106</v>
      </c>
      <c r="C213" s="340">
        <v>170</v>
      </c>
      <c r="D213" s="372"/>
      <c r="E213" s="372"/>
      <c r="F213" s="372"/>
      <c r="G213" s="194"/>
      <c r="H213" s="195"/>
      <c r="I213" s="23"/>
      <c r="J213" s="23"/>
      <c r="K213" s="23"/>
      <c r="L213" s="23"/>
      <c r="M213" s="23"/>
    </row>
    <row r="214" spans="1:16" s="13" customFormat="1" ht="15">
      <c r="A214" s="503" t="s">
        <v>6</v>
      </c>
      <c r="B214" s="504"/>
      <c r="C214" s="217">
        <f>+C198</f>
        <v>49777.73</v>
      </c>
      <c r="D214" s="217">
        <f>+D210+D207+D202+D199+D195</f>
        <v>23418</v>
      </c>
      <c r="E214" s="217">
        <f>+E210+E207+E202+E199+E195</f>
        <v>23418</v>
      </c>
      <c r="F214" s="217">
        <f>+F210+F207+F202+F199+F195</f>
        <v>19253.739999999998</v>
      </c>
      <c r="G214" s="198">
        <f>F214/C214*100</f>
        <v>38.6794255181986</v>
      </c>
      <c r="H214" s="199">
        <f>F214/E214*100</f>
        <v>82.21769578956358</v>
      </c>
      <c r="I214" s="12"/>
      <c r="J214" s="12"/>
      <c r="K214" s="12"/>
      <c r="L214" s="12"/>
      <c r="M214" s="12"/>
      <c r="P214" s="19"/>
    </row>
    <row r="215" spans="1:16" s="13" customFormat="1" ht="15">
      <c r="A215" s="271"/>
      <c r="B215" s="271"/>
      <c r="C215" s="272"/>
      <c r="D215" s="272"/>
      <c r="E215" s="272"/>
      <c r="F215" s="272"/>
      <c r="G215" s="17"/>
      <c r="H215" s="17"/>
      <c r="I215" s="12"/>
      <c r="J215" s="12"/>
      <c r="K215" s="12"/>
      <c r="L215" s="12"/>
      <c r="M215" s="12"/>
      <c r="P215" s="19"/>
    </row>
    <row r="216" spans="1:16" s="36" customFormat="1" ht="15">
      <c r="A216" s="196" t="s">
        <v>45</v>
      </c>
      <c r="B216" s="208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P216" s="81"/>
    </row>
    <row r="217" spans="1:16" s="13" customFormat="1" ht="14.25" customHeight="1">
      <c r="A217" s="468" t="s">
        <v>78</v>
      </c>
      <c r="B217" s="470" t="s">
        <v>3</v>
      </c>
      <c r="C217" s="470" t="s">
        <v>74</v>
      </c>
      <c r="D217" s="465" t="s">
        <v>169</v>
      </c>
      <c r="E217" s="465" t="s">
        <v>170</v>
      </c>
      <c r="F217" s="465" t="s">
        <v>171</v>
      </c>
      <c r="G217" s="465" t="s">
        <v>75</v>
      </c>
      <c r="H217" s="465" t="s">
        <v>75</v>
      </c>
      <c r="I217" s="12"/>
      <c r="J217" s="12"/>
      <c r="K217" s="12"/>
      <c r="L217" s="12"/>
      <c r="M217" s="12"/>
      <c r="P217" s="19"/>
    </row>
    <row r="218" spans="1:16" s="13" customFormat="1" ht="28.5" customHeight="1">
      <c r="A218" s="469"/>
      <c r="B218" s="471"/>
      <c r="C218" s="471"/>
      <c r="D218" s="466"/>
      <c r="E218" s="466"/>
      <c r="F218" s="466"/>
      <c r="G218" s="466"/>
      <c r="H218" s="466"/>
      <c r="I218" s="12"/>
      <c r="J218" s="12"/>
      <c r="K218" s="12"/>
      <c r="L218" s="12"/>
      <c r="M218" s="12"/>
      <c r="P218" s="19"/>
    </row>
    <row r="219" spans="1:16" s="13" customFormat="1" ht="15">
      <c r="A219" s="473">
        <v>1</v>
      </c>
      <c r="B219" s="473"/>
      <c r="C219" s="73">
        <v>2</v>
      </c>
      <c r="D219" s="74">
        <v>3</v>
      </c>
      <c r="E219" s="74">
        <v>4</v>
      </c>
      <c r="F219" s="74">
        <v>5</v>
      </c>
      <c r="G219" s="74" t="s">
        <v>76</v>
      </c>
      <c r="H219" s="74" t="s">
        <v>77</v>
      </c>
      <c r="I219" s="12"/>
      <c r="J219" s="12"/>
      <c r="K219" s="12"/>
      <c r="L219" s="12"/>
      <c r="M219" s="12"/>
      <c r="P219" s="19"/>
    </row>
    <row r="220" spans="1:16" s="13" customFormat="1" ht="15">
      <c r="A220" s="222">
        <v>32</v>
      </c>
      <c r="B220" s="179" t="s">
        <v>11</v>
      </c>
      <c r="C220" s="158">
        <f>SUM(C221)</f>
        <v>4857.9</v>
      </c>
      <c r="D220" s="158">
        <f aca="true" t="shared" si="13" ref="D220:F221">SUM(D221)</f>
        <v>90.44</v>
      </c>
      <c r="E220" s="158">
        <f t="shared" si="13"/>
        <v>90.44</v>
      </c>
      <c r="F220" s="158">
        <f t="shared" si="13"/>
        <v>90.44</v>
      </c>
      <c r="G220" s="390">
        <f>F220/C220*100</f>
        <v>1.861709792297083</v>
      </c>
      <c r="H220" s="391">
        <f>F220/E220*100</f>
        <v>100</v>
      </c>
      <c r="I220" s="12"/>
      <c r="J220" s="12"/>
      <c r="K220" s="12"/>
      <c r="L220" s="12"/>
      <c r="M220" s="12"/>
      <c r="P220" s="19"/>
    </row>
    <row r="221" spans="1:16" s="13" customFormat="1" ht="15">
      <c r="A221" s="205">
        <v>321</v>
      </c>
      <c r="B221" s="166" t="s">
        <v>12</v>
      </c>
      <c r="C221" s="220">
        <f>SUM(C222)</f>
        <v>4857.9</v>
      </c>
      <c r="D221" s="270">
        <f t="shared" si="13"/>
        <v>90.44</v>
      </c>
      <c r="E221" s="220">
        <f t="shared" si="13"/>
        <v>90.44</v>
      </c>
      <c r="F221" s="220">
        <f t="shared" si="13"/>
        <v>90.44</v>
      </c>
      <c r="G221" s="163">
        <f>F221/C221*100</f>
        <v>1.861709792297083</v>
      </c>
      <c r="H221" s="387">
        <f>F221/E221*100</f>
        <v>100</v>
      </c>
      <c r="I221" s="12"/>
      <c r="J221" s="12"/>
      <c r="K221" s="12"/>
      <c r="L221" s="12"/>
      <c r="M221" s="12"/>
      <c r="P221" s="19"/>
    </row>
    <row r="222" spans="1:16" s="41" customFormat="1" ht="15">
      <c r="A222" s="65">
        <v>3211</v>
      </c>
      <c r="B222" s="62" t="s">
        <v>87</v>
      </c>
      <c r="C222" s="83">
        <v>4857.9</v>
      </c>
      <c r="D222" s="87">
        <v>90.44</v>
      </c>
      <c r="E222" s="87">
        <v>90.44</v>
      </c>
      <c r="F222" s="87">
        <v>90.44</v>
      </c>
      <c r="G222" s="194">
        <f>F222/C222*100</f>
        <v>1.861709792297083</v>
      </c>
      <c r="H222" s="195">
        <f>F222/E222*100</f>
        <v>100</v>
      </c>
      <c r="I222" s="23"/>
      <c r="J222" s="23"/>
      <c r="K222" s="23"/>
      <c r="L222" s="23"/>
      <c r="M222" s="23"/>
      <c r="P222" s="3"/>
    </row>
    <row r="223" spans="1:16" s="13" customFormat="1" ht="15">
      <c r="A223" s="503" t="s">
        <v>6</v>
      </c>
      <c r="B223" s="504"/>
      <c r="C223" s="185">
        <f>C220</f>
        <v>4857.9</v>
      </c>
      <c r="D223" s="185">
        <f>+D221</f>
        <v>90.44</v>
      </c>
      <c r="E223" s="185">
        <f>E220</f>
        <v>90.44</v>
      </c>
      <c r="F223" s="185">
        <f>F220</f>
        <v>90.44</v>
      </c>
      <c r="G223" s="198">
        <f>F223/C223*100</f>
        <v>1.861709792297083</v>
      </c>
      <c r="H223" s="199">
        <f>F223/E223*100</f>
        <v>100</v>
      </c>
      <c r="I223" s="12"/>
      <c r="J223" s="12"/>
      <c r="K223" s="12"/>
      <c r="L223" s="12"/>
      <c r="M223" s="12"/>
      <c r="P223" s="19"/>
    </row>
    <row r="224" spans="2:16" s="13" customFormat="1" ht="15">
      <c r="B224" s="11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P224" s="19"/>
    </row>
    <row r="225" spans="1:16" s="13" customFormat="1" ht="15">
      <c r="A225" s="207" t="s">
        <v>79</v>
      </c>
      <c r="B225" s="208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P225" s="19"/>
    </row>
    <row r="226" spans="1:16" s="13" customFormat="1" ht="14.25" customHeight="1">
      <c r="A226" s="468" t="s">
        <v>78</v>
      </c>
      <c r="B226" s="470" t="s">
        <v>3</v>
      </c>
      <c r="C226" s="470" t="s">
        <v>74</v>
      </c>
      <c r="D226" s="465" t="s">
        <v>169</v>
      </c>
      <c r="E226" s="465" t="s">
        <v>170</v>
      </c>
      <c r="F226" s="465" t="s">
        <v>171</v>
      </c>
      <c r="G226" s="465" t="s">
        <v>75</v>
      </c>
      <c r="H226" s="465" t="s">
        <v>75</v>
      </c>
      <c r="I226" s="12"/>
      <c r="J226" s="12"/>
      <c r="K226" s="12"/>
      <c r="L226" s="12"/>
      <c r="M226" s="12"/>
      <c r="P226" s="19"/>
    </row>
    <row r="227" spans="1:16" s="13" customFormat="1" ht="27" customHeight="1">
      <c r="A227" s="469"/>
      <c r="B227" s="471"/>
      <c r="C227" s="471"/>
      <c r="D227" s="466"/>
      <c r="E227" s="466"/>
      <c r="F227" s="466"/>
      <c r="G227" s="466"/>
      <c r="H227" s="466"/>
      <c r="I227" s="12"/>
      <c r="J227" s="12"/>
      <c r="K227" s="12"/>
      <c r="L227" s="12"/>
      <c r="M227" s="12"/>
      <c r="P227" s="19"/>
    </row>
    <row r="228" spans="1:16" s="13" customFormat="1" ht="15">
      <c r="A228" s="473">
        <v>1</v>
      </c>
      <c r="B228" s="473"/>
      <c r="C228" s="73">
        <v>2</v>
      </c>
      <c r="D228" s="74">
        <v>3</v>
      </c>
      <c r="E228" s="74">
        <v>4</v>
      </c>
      <c r="F228" s="74">
        <v>5</v>
      </c>
      <c r="G228" s="74" t="s">
        <v>76</v>
      </c>
      <c r="H228" s="74" t="s">
        <v>77</v>
      </c>
      <c r="I228" s="12"/>
      <c r="J228" s="12"/>
      <c r="K228" s="12"/>
      <c r="L228" s="12"/>
      <c r="M228" s="12"/>
      <c r="P228" s="19"/>
    </row>
    <row r="229" spans="1:16" s="13" customFormat="1" ht="15">
      <c r="A229" s="202">
        <v>32</v>
      </c>
      <c r="B229" s="181" t="s">
        <v>11</v>
      </c>
      <c r="C229" s="219">
        <f>SUM(C230,C233,C239,C248)+C246</f>
        <v>123917.84</v>
      </c>
      <c r="D229" s="219">
        <f>+D230+D233+D239+D246+D248</f>
        <v>117000</v>
      </c>
      <c r="E229" s="219">
        <f>+E230+E233+E239+E246+E248</f>
        <v>117000</v>
      </c>
      <c r="F229" s="219">
        <f>+F230+F233+F239+F246+F248</f>
        <v>29956.75</v>
      </c>
      <c r="G229" s="390">
        <f aca="true" t="shared" si="14" ref="G229:G264">F229/C229*100</f>
        <v>24.17468703457065</v>
      </c>
      <c r="H229" s="391">
        <f aca="true" t="shared" si="15" ref="H229:H264">F229/E229*100</f>
        <v>25.60405982905983</v>
      </c>
      <c r="I229" s="12"/>
      <c r="J229" s="12"/>
      <c r="K229" s="12"/>
      <c r="L229" s="12"/>
      <c r="M229" s="12"/>
      <c r="P229" s="19"/>
    </row>
    <row r="230" spans="1:16" s="13" customFormat="1" ht="15" customHeight="1">
      <c r="A230" s="205">
        <v>321</v>
      </c>
      <c r="B230" s="166" t="s">
        <v>12</v>
      </c>
      <c r="C230" s="220">
        <f>SUM(C231:C232)</f>
        <v>0</v>
      </c>
      <c r="D230" s="220">
        <f>SUM(D231:D232)</f>
        <v>1000</v>
      </c>
      <c r="E230" s="220">
        <f>SUM(E231:E232)</f>
        <v>1000</v>
      </c>
      <c r="F230" s="220">
        <f>SUM(F231:F232)</f>
        <v>216.9</v>
      </c>
      <c r="G230" s="163" t="e">
        <f t="shared" si="14"/>
        <v>#DIV/0!</v>
      </c>
      <c r="H230" s="387">
        <f t="shared" si="15"/>
        <v>21.69</v>
      </c>
      <c r="I230" s="12"/>
      <c r="J230" s="12"/>
      <c r="K230" s="12"/>
      <c r="L230" s="12"/>
      <c r="M230" s="12"/>
      <c r="P230" s="19"/>
    </row>
    <row r="231" spans="1:16" s="41" customFormat="1" ht="15" customHeight="1">
      <c r="A231" s="20">
        <v>3211</v>
      </c>
      <c r="B231" s="21" t="s">
        <v>87</v>
      </c>
      <c r="C231" s="82"/>
      <c r="D231" s="22">
        <v>1000</v>
      </c>
      <c r="E231" s="22">
        <f>+D231</f>
        <v>1000</v>
      </c>
      <c r="F231" s="22"/>
      <c r="G231" s="32" t="e">
        <f t="shared" si="14"/>
        <v>#DIV/0!</v>
      </c>
      <c r="H231" s="342">
        <f t="shared" si="15"/>
        <v>0</v>
      </c>
      <c r="I231" s="23"/>
      <c r="J231" s="23"/>
      <c r="K231" s="23"/>
      <c r="L231" s="23"/>
      <c r="M231" s="23"/>
      <c r="P231" s="3"/>
    </row>
    <row r="232" spans="1:16" s="41" customFormat="1" ht="15" customHeight="1">
      <c r="A232" s="20">
        <v>3213</v>
      </c>
      <c r="B232" s="21" t="s">
        <v>129</v>
      </c>
      <c r="C232" s="82"/>
      <c r="D232" s="22"/>
      <c r="E232" s="22"/>
      <c r="F232" s="22">
        <v>216.9</v>
      </c>
      <c r="G232" s="32" t="e">
        <f t="shared" si="14"/>
        <v>#DIV/0!</v>
      </c>
      <c r="H232" s="342" t="e">
        <f t="shared" si="15"/>
        <v>#DIV/0!</v>
      </c>
      <c r="I232" s="23"/>
      <c r="J232" s="23"/>
      <c r="K232" s="23"/>
      <c r="L232" s="23"/>
      <c r="M232" s="23"/>
      <c r="P232" s="3"/>
    </row>
    <row r="233" spans="1:16" s="13" customFormat="1" ht="15">
      <c r="A233" s="205">
        <v>322</v>
      </c>
      <c r="B233" s="166" t="s">
        <v>14</v>
      </c>
      <c r="C233" s="220">
        <f>SUM(C234:C238)</f>
        <v>62584.39</v>
      </c>
      <c r="D233" s="220">
        <f>SUM(D234:D238)</f>
        <v>54000</v>
      </c>
      <c r="E233" s="220">
        <f>SUM(E234:E238)</f>
        <v>54000</v>
      </c>
      <c r="F233" s="220">
        <f>SUM(F234:F238)</f>
        <v>14855.869999999999</v>
      </c>
      <c r="G233" s="163">
        <f t="shared" si="14"/>
        <v>23.737340892832858</v>
      </c>
      <c r="H233" s="387">
        <f t="shared" si="15"/>
        <v>27.510870370370366</v>
      </c>
      <c r="I233" s="12"/>
      <c r="J233" s="12"/>
      <c r="K233" s="12"/>
      <c r="L233" s="12"/>
      <c r="M233" s="12"/>
      <c r="P233" s="19"/>
    </row>
    <row r="234" spans="1:16" s="13" customFormat="1" ht="15">
      <c r="A234" s="20">
        <v>3221</v>
      </c>
      <c r="B234" s="21" t="s">
        <v>15</v>
      </c>
      <c r="C234" s="82">
        <v>19886.57</v>
      </c>
      <c r="D234" s="22">
        <v>15000</v>
      </c>
      <c r="E234" s="22">
        <f>+D234</f>
        <v>15000</v>
      </c>
      <c r="F234" s="22">
        <v>3784.25</v>
      </c>
      <c r="G234" s="32">
        <f t="shared" si="14"/>
        <v>19.029173960114793</v>
      </c>
      <c r="H234" s="342">
        <f t="shared" si="15"/>
        <v>25.228333333333335</v>
      </c>
      <c r="I234" s="12"/>
      <c r="J234" s="12"/>
      <c r="K234" s="12"/>
      <c r="L234" s="12"/>
      <c r="M234" s="12"/>
      <c r="P234" s="19"/>
    </row>
    <row r="235" spans="1:16" s="13" customFormat="1" ht="15">
      <c r="A235" s="20">
        <v>3222</v>
      </c>
      <c r="B235" s="21" t="s">
        <v>131</v>
      </c>
      <c r="C235" s="82">
        <v>14380.57</v>
      </c>
      <c r="D235" s="22">
        <v>20000</v>
      </c>
      <c r="E235" s="22">
        <f>+D235</f>
        <v>20000</v>
      </c>
      <c r="F235" s="22">
        <v>868.97</v>
      </c>
      <c r="G235" s="32">
        <f t="shared" si="14"/>
        <v>6.042667293438299</v>
      </c>
      <c r="H235" s="342">
        <f t="shared" si="15"/>
        <v>4.34485</v>
      </c>
      <c r="I235" s="12"/>
      <c r="J235" s="12"/>
      <c r="K235" s="12"/>
      <c r="L235" s="12"/>
      <c r="M235" s="12"/>
      <c r="P235" s="19"/>
    </row>
    <row r="236" spans="1:16" s="13" customFormat="1" ht="15">
      <c r="A236" s="20">
        <v>3223</v>
      </c>
      <c r="B236" s="21" t="s">
        <v>91</v>
      </c>
      <c r="C236" s="82">
        <v>4209.6</v>
      </c>
      <c r="D236" s="22"/>
      <c r="E236" s="22"/>
      <c r="F236" s="22"/>
      <c r="G236" s="32"/>
      <c r="H236" s="342"/>
      <c r="I236" s="12"/>
      <c r="J236" s="12"/>
      <c r="K236" s="12"/>
      <c r="L236" s="12"/>
      <c r="M236" s="12"/>
      <c r="P236" s="19"/>
    </row>
    <row r="237" spans="1:16" s="13" customFormat="1" ht="30">
      <c r="A237" s="20">
        <v>3224</v>
      </c>
      <c r="B237" s="21" t="s">
        <v>93</v>
      </c>
      <c r="C237" s="82">
        <v>11508.07</v>
      </c>
      <c r="D237" s="22">
        <v>9000</v>
      </c>
      <c r="E237" s="22">
        <f>+D237</f>
        <v>9000</v>
      </c>
      <c r="F237" s="22">
        <v>5894.92</v>
      </c>
      <c r="G237" s="32">
        <f t="shared" si="14"/>
        <v>51.22422786792226</v>
      </c>
      <c r="H237" s="342">
        <f t="shared" si="15"/>
        <v>65.4991111111111</v>
      </c>
      <c r="I237" s="12"/>
      <c r="J237" s="12"/>
      <c r="K237" s="12"/>
      <c r="L237" s="12"/>
      <c r="M237" s="12"/>
      <c r="P237" s="19"/>
    </row>
    <row r="238" spans="1:16" s="13" customFormat="1" ht="15">
      <c r="A238" s="20">
        <v>3225</v>
      </c>
      <c r="B238" s="21" t="s">
        <v>187</v>
      </c>
      <c r="C238" s="82">
        <v>12599.58</v>
      </c>
      <c r="D238" s="22">
        <v>10000</v>
      </c>
      <c r="E238" s="22">
        <f>+D238</f>
        <v>10000</v>
      </c>
      <c r="F238" s="22">
        <v>4307.73</v>
      </c>
      <c r="G238" s="32">
        <f t="shared" si="14"/>
        <v>34.18947298243275</v>
      </c>
      <c r="H238" s="342">
        <f t="shared" si="15"/>
        <v>43.077299999999994</v>
      </c>
      <c r="I238" s="12"/>
      <c r="J238" s="12"/>
      <c r="K238" s="12"/>
      <c r="L238" s="12"/>
      <c r="M238" s="12"/>
      <c r="P238" s="19"/>
    </row>
    <row r="239" spans="1:16" s="13" customFormat="1" ht="15">
      <c r="A239" s="205">
        <v>323</v>
      </c>
      <c r="B239" s="166" t="s">
        <v>16</v>
      </c>
      <c r="C239" s="220">
        <f>SUM(C240:C245)</f>
        <v>51711.44</v>
      </c>
      <c r="D239" s="220">
        <f>SUM(D240:D245)</f>
        <v>55500</v>
      </c>
      <c r="E239" s="220">
        <f>SUM(E240:E245)</f>
        <v>55500</v>
      </c>
      <c r="F239" s="220">
        <f>SUM(F240:F245)</f>
        <v>12239.05</v>
      </c>
      <c r="G239" s="163">
        <f t="shared" si="14"/>
        <v>23.667973663081128</v>
      </c>
      <c r="H239" s="387">
        <f t="shared" si="15"/>
        <v>22.05234234234234</v>
      </c>
      <c r="I239" s="12"/>
      <c r="J239" s="12"/>
      <c r="K239" s="12"/>
      <c r="L239" s="12"/>
      <c r="M239" s="12"/>
      <c r="P239" s="19"/>
    </row>
    <row r="240" spans="1:16" s="41" customFormat="1" ht="15">
      <c r="A240" s="20">
        <v>3232</v>
      </c>
      <c r="B240" s="21" t="s">
        <v>98</v>
      </c>
      <c r="C240" s="123">
        <v>13156.41</v>
      </c>
      <c r="D240" s="22">
        <v>14500</v>
      </c>
      <c r="E240" s="22">
        <f>+D240</f>
        <v>14500</v>
      </c>
      <c r="F240" s="22">
        <v>2991.87</v>
      </c>
      <c r="G240" s="32">
        <f t="shared" si="14"/>
        <v>22.74077806939735</v>
      </c>
      <c r="H240" s="342">
        <f t="shared" si="15"/>
        <v>20.633586206896553</v>
      </c>
      <c r="I240" s="23"/>
      <c r="J240" s="23"/>
      <c r="K240" s="23"/>
      <c r="L240" s="23"/>
      <c r="M240" s="23"/>
      <c r="P240" s="3"/>
    </row>
    <row r="241" spans="1:16" s="41" customFormat="1" ht="15">
      <c r="A241" s="20">
        <v>3233</v>
      </c>
      <c r="B241" s="21" t="s">
        <v>186</v>
      </c>
      <c r="C241" s="123">
        <v>3543.75</v>
      </c>
      <c r="D241" s="22"/>
      <c r="E241" s="22"/>
      <c r="F241" s="22"/>
      <c r="G241" s="32"/>
      <c r="H241" s="342"/>
      <c r="I241" s="23"/>
      <c r="J241" s="23"/>
      <c r="K241" s="23"/>
      <c r="L241" s="23"/>
      <c r="M241" s="23"/>
      <c r="P241" s="3"/>
    </row>
    <row r="242" spans="1:16" s="41" customFormat="1" ht="15">
      <c r="A242" s="20">
        <v>3235</v>
      </c>
      <c r="B242" s="21" t="s">
        <v>158</v>
      </c>
      <c r="C242" s="123">
        <v>14804.9</v>
      </c>
      <c r="D242" s="22">
        <v>15500</v>
      </c>
      <c r="E242" s="22">
        <f>+D242</f>
        <v>15500</v>
      </c>
      <c r="F242" s="22">
        <v>9062.18</v>
      </c>
      <c r="G242" s="32">
        <f t="shared" si="14"/>
        <v>61.21068024775581</v>
      </c>
      <c r="H242" s="342">
        <f t="shared" si="15"/>
        <v>58.46567741935485</v>
      </c>
      <c r="I242" s="23"/>
      <c r="J242" s="23"/>
      <c r="K242" s="23"/>
      <c r="L242" s="23"/>
      <c r="M242" s="23"/>
      <c r="P242" s="3"/>
    </row>
    <row r="243" spans="1:16" s="41" customFormat="1" ht="15">
      <c r="A243" s="20">
        <v>3237</v>
      </c>
      <c r="B243" s="21" t="s">
        <v>136</v>
      </c>
      <c r="C243" s="123">
        <v>12673.66</v>
      </c>
      <c r="D243" s="22">
        <v>10000</v>
      </c>
      <c r="E243" s="22">
        <f>+D243</f>
        <v>10000</v>
      </c>
      <c r="F243" s="22">
        <v>0</v>
      </c>
      <c r="G243" s="32">
        <f t="shared" si="14"/>
        <v>0</v>
      </c>
      <c r="H243" s="342">
        <f t="shared" si="15"/>
        <v>0</v>
      </c>
      <c r="I243" s="23"/>
      <c r="J243" s="23"/>
      <c r="K243" s="23"/>
      <c r="L243" s="23"/>
      <c r="M243" s="23"/>
      <c r="P243" s="3"/>
    </row>
    <row r="244" spans="1:16" s="41" customFormat="1" ht="15">
      <c r="A244" s="20">
        <v>3238</v>
      </c>
      <c r="B244" s="21" t="s">
        <v>102</v>
      </c>
      <c r="C244" s="123">
        <v>5643.9</v>
      </c>
      <c r="D244" s="22">
        <v>3000</v>
      </c>
      <c r="E244" s="22">
        <f>+D244</f>
        <v>3000</v>
      </c>
      <c r="F244" s="22">
        <v>25</v>
      </c>
      <c r="G244" s="32">
        <f t="shared" si="14"/>
        <v>0.44295611190843215</v>
      </c>
      <c r="H244" s="342">
        <f t="shared" si="15"/>
        <v>0.8333333333333334</v>
      </c>
      <c r="I244" s="23"/>
      <c r="J244" s="23"/>
      <c r="K244" s="23"/>
      <c r="L244" s="23"/>
      <c r="M244" s="23"/>
      <c r="P244" s="3"/>
    </row>
    <row r="245" spans="1:16" s="41" customFormat="1" ht="15">
      <c r="A245" s="20">
        <v>3239</v>
      </c>
      <c r="B245" s="21" t="s">
        <v>17</v>
      </c>
      <c r="C245" s="123">
        <v>1888.82</v>
      </c>
      <c r="D245" s="22">
        <v>12500</v>
      </c>
      <c r="E245" s="22">
        <f>+D245</f>
        <v>12500</v>
      </c>
      <c r="F245" s="22">
        <v>160</v>
      </c>
      <c r="G245" s="32">
        <f t="shared" si="14"/>
        <v>8.470897173896931</v>
      </c>
      <c r="H245" s="342">
        <f t="shared" si="15"/>
        <v>1.28</v>
      </c>
      <c r="I245" s="23"/>
      <c r="J245" s="23"/>
      <c r="K245" s="23"/>
      <c r="L245" s="23"/>
      <c r="M245" s="23"/>
      <c r="P245" s="3"/>
    </row>
    <row r="246" spans="1:16" s="41" customFormat="1" ht="30">
      <c r="A246" s="190">
        <v>324</v>
      </c>
      <c r="B246" s="286" t="s">
        <v>184</v>
      </c>
      <c r="C246" s="265">
        <f>+C247</f>
        <v>1124.84</v>
      </c>
      <c r="D246" s="265">
        <f>+D247</f>
        <v>314.46</v>
      </c>
      <c r="E246" s="265">
        <f>+E247</f>
        <v>314.46</v>
      </c>
      <c r="F246" s="265">
        <f>+F247</f>
        <v>0</v>
      </c>
      <c r="G246" s="163">
        <f>F246/C246*100</f>
        <v>0</v>
      </c>
      <c r="H246" s="387">
        <f>F246/E246*100</f>
        <v>0</v>
      </c>
      <c r="I246" s="23"/>
      <c r="J246" s="23"/>
      <c r="K246" s="23"/>
      <c r="L246" s="23"/>
      <c r="M246" s="23"/>
      <c r="P246" s="3"/>
    </row>
    <row r="247" spans="1:16" s="41" customFormat="1" ht="30">
      <c r="A247" s="20">
        <v>3241</v>
      </c>
      <c r="B247" s="264" t="s">
        <v>184</v>
      </c>
      <c r="C247" s="123">
        <v>1124.84</v>
      </c>
      <c r="D247" s="22">
        <v>314.46</v>
      </c>
      <c r="E247" s="22">
        <f>+D247</f>
        <v>314.46</v>
      </c>
      <c r="F247" s="22">
        <v>0</v>
      </c>
      <c r="G247" s="32">
        <f>F247/C247*100</f>
        <v>0</v>
      </c>
      <c r="H247" s="342">
        <f>F247/E247*100</f>
        <v>0</v>
      </c>
      <c r="I247" s="23"/>
      <c r="J247" s="23"/>
      <c r="K247" s="23"/>
      <c r="L247" s="23"/>
      <c r="M247" s="23"/>
      <c r="P247" s="3"/>
    </row>
    <row r="248" spans="1:16" s="13" customFormat="1" ht="15">
      <c r="A248" s="205">
        <v>329</v>
      </c>
      <c r="B248" s="166" t="s">
        <v>18</v>
      </c>
      <c r="C248" s="220">
        <f>SUM(C249:C251)</f>
        <v>8497.17</v>
      </c>
      <c r="D248" s="220">
        <f>SUM(D249:D251)</f>
        <v>6185.54</v>
      </c>
      <c r="E248" s="220">
        <f>SUM(E249:E251)</f>
        <v>6185.54</v>
      </c>
      <c r="F248" s="220">
        <f>SUM(F249:F251)</f>
        <v>2644.9300000000003</v>
      </c>
      <c r="G248" s="163">
        <f t="shared" si="14"/>
        <v>31.127187051688978</v>
      </c>
      <c r="H248" s="387">
        <f t="shared" si="15"/>
        <v>42.75988838484595</v>
      </c>
      <c r="I248" s="12"/>
      <c r="J248" s="12"/>
      <c r="K248" s="12"/>
      <c r="L248" s="12"/>
      <c r="M248" s="12"/>
      <c r="P248" s="19"/>
    </row>
    <row r="249" spans="1:13" s="41" customFormat="1" ht="31.5" customHeight="1">
      <c r="A249" s="20">
        <v>3291</v>
      </c>
      <c r="B249" s="21" t="s">
        <v>105</v>
      </c>
      <c r="C249" s="123"/>
      <c r="D249" s="22">
        <v>235.54</v>
      </c>
      <c r="E249" s="22">
        <f>+D249</f>
        <v>235.54</v>
      </c>
      <c r="F249" s="22">
        <v>235.54</v>
      </c>
      <c r="G249" s="32" t="e">
        <f t="shared" si="14"/>
        <v>#DIV/0!</v>
      </c>
      <c r="H249" s="342">
        <f t="shared" si="15"/>
        <v>100</v>
      </c>
      <c r="I249" s="23"/>
      <c r="J249" s="23"/>
      <c r="K249" s="23"/>
      <c r="L249" s="23"/>
      <c r="M249" s="23"/>
    </row>
    <row r="250" spans="1:13" s="41" customFormat="1" ht="15">
      <c r="A250" s="20">
        <v>3295</v>
      </c>
      <c r="B250" s="21" t="s">
        <v>106</v>
      </c>
      <c r="C250" s="123">
        <v>1614.02</v>
      </c>
      <c r="D250" s="22">
        <v>950</v>
      </c>
      <c r="E250" s="22">
        <f>+D250</f>
        <v>950</v>
      </c>
      <c r="F250" s="22">
        <v>1250</v>
      </c>
      <c r="G250" s="32">
        <f t="shared" si="14"/>
        <v>77.44637612916816</v>
      </c>
      <c r="H250" s="342">
        <f t="shared" si="15"/>
        <v>131.57894736842107</v>
      </c>
      <c r="I250" s="23"/>
      <c r="J250" s="23"/>
      <c r="K250" s="23"/>
      <c r="L250" s="23"/>
      <c r="M250" s="23"/>
    </row>
    <row r="251" spans="1:13" s="41" customFormat="1" ht="15">
      <c r="A251" s="20">
        <v>3299</v>
      </c>
      <c r="B251" s="21" t="s">
        <v>18</v>
      </c>
      <c r="C251" s="123">
        <v>6883.15</v>
      </c>
      <c r="D251" s="22">
        <v>5000</v>
      </c>
      <c r="E251" s="22">
        <f>+D251</f>
        <v>5000</v>
      </c>
      <c r="F251" s="22">
        <v>1159.39</v>
      </c>
      <c r="G251" s="32">
        <f t="shared" si="14"/>
        <v>16.843886883185753</v>
      </c>
      <c r="H251" s="342">
        <f t="shared" si="15"/>
        <v>23.187800000000003</v>
      </c>
      <c r="I251" s="23"/>
      <c r="J251" s="23"/>
      <c r="K251" s="23"/>
      <c r="L251" s="23"/>
      <c r="M251" s="23"/>
    </row>
    <row r="252" spans="1:16" s="13" customFormat="1" ht="30">
      <c r="A252" s="203">
        <v>37</v>
      </c>
      <c r="B252" s="392" t="s">
        <v>162</v>
      </c>
      <c r="C252" s="393">
        <f>+C253</f>
        <v>0</v>
      </c>
      <c r="D252" s="393">
        <f aca="true" t="shared" si="16" ref="D252:F253">+D253</f>
        <v>0</v>
      </c>
      <c r="E252" s="393">
        <f t="shared" si="16"/>
        <v>0</v>
      </c>
      <c r="F252" s="266">
        <f t="shared" si="16"/>
        <v>2275</v>
      </c>
      <c r="G252" s="159" t="e">
        <f aca="true" t="shared" si="17" ref="G252:G263">F252/C252*100</f>
        <v>#DIV/0!</v>
      </c>
      <c r="H252" s="388" t="e">
        <f aca="true" t="shared" si="18" ref="H252:H263">F252/E252*100</f>
        <v>#DIV/0!</v>
      </c>
      <c r="I252" s="12"/>
      <c r="J252" s="12"/>
      <c r="K252" s="12"/>
      <c r="L252" s="12"/>
      <c r="M252" s="12"/>
      <c r="P252" s="19"/>
    </row>
    <row r="253" spans="1:16" s="13" customFormat="1" ht="30">
      <c r="A253" s="227">
        <v>372</v>
      </c>
      <c r="B253" s="228" t="s">
        <v>163</v>
      </c>
      <c r="C253" s="396">
        <f>+C254</f>
        <v>0</v>
      </c>
      <c r="D253" s="396">
        <f t="shared" si="16"/>
        <v>0</v>
      </c>
      <c r="E253" s="396">
        <f t="shared" si="16"/>
        <v>0</v>
      </c>
      <c r="F253" s="396">
        <f t="shared" si="16"/>
        <v>2275</v>
      </c>
      <c r="G253" s="163" t="e">
        <f t="shared" si="17"/>
        <v>#DIV/0!</v>
      </c>
      <c r="H253" s="387" t="e">
        <f t="shared" si="18"/>
        <v>#DIV/0!</v>
      </c>
      <c r="I253" s="12"/>
      <c r="J253" s="12"/>
      <c r="K253" s="12"/>
      <c r="L253" s="12"/>
      <c r="M253" s="12"/>
      <c r="P253" s="19"/>
    </row>
    <row r="254" spans="1:16" s="13" customFormat="1" ht="15">
      <c r="A254" s="20">
        <v>3722</v>
      </c>
      <c r="B254" s="21" t="s">
        <v>146</v>
      </c>
      <c r="C254" s="397"/>
      <c r="D254" s="22"/>
      <c r="E254" s="22"/>
      <c r="F254" s="22">
        <v>2275</v>
      </c>
      <c r="G254" s="32" t="e">
        <f t="shared" si="17"/>
        <v>#DIV/0!</v>
      </c>
      <c r="H254" s="342" t="e">
        <f t="shared" si="18"/>
        <v>#DIV/0!</v>
      </c>
      <c r="I254" s="12"/>
      <c r="J254" s="12"/>
      <c r="K254" s="12"/>
      <c r="L254" s="12"/>
      <c r="M254" s="12"/>
      <c r="P254" s="19"/>
    </row>
    <row r="255" spans="1:16" s="13" customFormat="1" ht="15">
      <c r="A255" s="20"/>
      <c r="B255" s="21"/>
      <c r="C255" s="397"/>
      <c r="D255" s="22"/>
      <c r="E255" s="22"/>
      <c r="F255" s="22"/>
      <c r="G255" s="32"/>
      <c r="H255" s="342"/>
      <c r="I255" s="12"/>
      <c r="J255" s="12"/>
      <c r="K255" s="12"/>
      <c r="L255" s="12"/>
      <c r="M255" s="12"/>
      <c r="P255" s="19"/>
    </row>
    <row r="256" spans="1:16" s="13" customFormat="1" ht="30">
      <c r="A256" s="224">
        <v>42</v>
      </c>
      <c r="B256" s="294" t="s">
        <v>22</v>
      </c>
      <c r="C256" s="398">
        <f>+C257+C260+C262</f>
        <v>22960</v>
      </c>
      <c r="D256" s="176">
        <f>+D262</f>
        <v>3750</v>
      </c>
      <c r="E256" s="176">
        <f>+E262</f>
        <v>3750</v>
      </c>
      <c r="F256" s="176">
        <f>+F262</f>
        <v>2225</v>
      </c>
      <c r="G256" s="159">
        <f t="shared" si="17"/>
        <v>9.690766550522648</v>
      </c>
      <c r="H256" s="388">
        <f t="shared" si="18"/>
        <v>59.333333333333336</v>
      </c>
      <c r="I256" s="12"/>
      <c r="J256" s="12"/>
      <c r="K256" s="12"/>
      <c r="L256" s="12"/>
      <c r="M256" s="12"/>
      <c r="P256" s="19"/>
    </row>
    <row r="257" spans="1:16" s="316" customFormat="1" ht="15">
      <c r="A257" s="227">
        <v>422</v>
      </c>
      <c r="B257" s="289" t="s">
        <v>21</v>
      </c>
      <c r="C257" s="396">
        <f>SUM(C258:C259)</f>
        <v>17654.98</v>
      </c>
      <c r="D257" s="169"/>
      <c r="E257" s="169"/>
      <c r="F257" s="169"/>
      <c r="G257" s="163">
        <f t="shared" si="17"/>
        <v>0</v>
      </c>
      <c r="H257" s="387" t="e">
        <f t="shared" si="18"/>
        <v>#DIV/0!</v>
      </c>
      <c r="I257" s="17"/>
      <c r="J257" s="17"/>
      <c r="K257" s="17"/>
      <c r="L257" s="17"/>
      <c r="M257" s="17"/>
      <c r="P257" s="317"/>
    </row>
    <row r="258" spans="1:16" s="316" customFormat="1" ht="15">
      <c r="A258" s="258">
        <v>4221</v>
      </c>
      <c r="B258" s="404" t="s">
        <v>111</v>
      </c>
      <c r="C258" s="399">
        <v>3229.98</v>
      </c>
      <c r="D258" s="400"/>
      <c r="E258" s="400"/>
      <c r="F258" s="400"/>
      <c r="G258" s="32">
        <f>F258/C258*100</f>
        <v>0</v>
      </c>
      <c r="H258" s="342" t="e">
        <f>F258/E258*100</f>
        <v>#DIV/0!</v>
      </c>
      <c r="I258" s="17"/>
      <c r="J258" s="17"/>
      <c r="K258" s="17"/>
      <c r="L258" s="17"/>
      <c r="M258" s="17"/>
      <c r="P258" s="317"/>
    </row>
    <row r="259" spans="1:16" s="316" customFormat="1" ht="15">
      <c r="A259" s="258">
        <v>4223</v>
      </c>
      <c r="B259" s="404" t="s">
        <v>218</v>
      </c>
      <c r="C259" s="399">
        <v>14425</v>
      </c>
      <c r="D259" s="400"/>
      <c r="E259" s="400"/>
      <c r="F259" s="400"/>
      <c r="G259" s="32">
        <f>F259/C259*100</f>
        <v>0</v>
      </c>
      <c r="H259" s="342" t="e">
        <f>F259/E259*100</f>
        <v>#DIV/0!</v>
      </c>
      <c r="I259" s="17"/>
      <c r="J259" s="17"/>
      <c r="K259" s="17"/>
      <c r="L259" s="17"/>
      <c r="M259" s="17"/>
      <c r="P259" s="317"/>
    </row>
    <row r="260" spans="1:16" s="13" customFormat="1" ht="30">
      <c r="A260" s="227">
        <v>424</v>
      </c>
      <c r="B260" s="289" t="s">
        <v>197</v>
      </c>
      <c r="C260" s="396">
        <f>+C261</f>
        <v>805.02</v>
      </c>
      <c r="D260" s="169"/>
      <c r="E260" s="169"/>
      <c r="F260" s="169"/>
      <c r="G260" s="163">
        <f>F260/C260*100</f>
        <v>0</v>
      </c>
      <c r="H260" s="387" t="e">
        <f>F260/E260*100</f>
        <v>#DIV/0!</v>
      </c>
      <c r="I260" s="12"/>
      <c r="J260" s="12"/>
      <c r="K260" s="12"/>
      <c r="L260" s="12"/>
      <c r="M260" s="12"/>
      <c r="P260" s="19"/>
    </row>
    <row r="261" spans="1:16" s="13" customFormat="1" ht="15">
      <c r="A261" s="258">
        <v>4241</v>
      </c>
      <c r="B261" s="404" t="s">
        <v>139</v>
      </c>
      <c r="C261" s="399">
        <v>805.02</v>
      </c>
      <c r="D261" s="400"/>
      <c r="E261" s="400"/>
      <c r="F261" s="400"/>
      <c r="G261" s="32">
        <f>F261/C261*100</f>
        <v>0</v>
      </c>
      <c r="H261" s="342" t="e">
        <f>F261/E261*100</f>
        <v>#DIV/0!</v>
      </c>
      <c r="I261" s="12"/>
      <c r="J261" s="12"/>
      <c r="K261" s="12"/>
      <c r="L261" s="12"/>
      <c r="M261" s="12"/>
      <c r="P261" s="19"/>
    </row>
    <row r="262" spans="1:16" s="13" customFormat="1" ht="15">
      <c r="A262" s="190">
        <v>426</v>
      </c>
      <c r="B262" s="394" t="s">
        <v>194</v>
      </c>
      <c r="C262" s="396">
        <f>+C263</f>
        <v>4500</v>
      </c>
      <c r="D262" s="169">
        <f>+D263</f>
        <v>3750</v>
      </c>
      <c r="E262" s="169">
        <f>+E263</f>
        <v>3750</v>
      </c>
      <c r="F262" s="169">
        <f>+F263</f>
        <v>2225</v>
      </c>
      <c r="G262" s="163">
        <f t="shared" si="17"/>
        <v>49.44444444444444</v>
      </c>
      <c r="H262" s="387">
        <f t="shared" si="18"/>
        <v>59.333333333333336</v>
      </c>
      <c r="I262" s="12"/>
      <c r="J262" s="12"/>
      <c r="K262" s="12"/>
      <c r="L262" s="12"/>
      <c r="M262" s="12"/>
      <c r="P262" s="19"/>
    </row>
    <row r="263" spans="1:16" s="13" customFormat="1" ht="15">
      <c r="A263" s="337">
        <v>4262</v>
      </c>
      <c r="B263" s="72" t="s">
        <v>193</v>
      </c>
      <c r="C263" s="401">
        <v>4500</v>
      </c>
      <c r="D263" s="340">
        <v>3750</v>
      </c>
      <c r="E263" s="340">
        <f>+D263</f>
        <v>3750</v>
      </c>
      <c r="F263" s="340">
        <v>2225</v>
      </c>
      <c r="G263" s="194">
        <f t="shared" si="17"/>
        <v>49.44444444444444</v>
      </c>
      <c r="H263" s="195">
        <f t="shared" si="18"/>
        <v>59.333333333333336</v>
      </c>
      <c r="I263" s="12"/>
      <c r="J263" s="12"/>
      <c r="K263" s="12"/>
      <c r="L263" s="12"/>
      <c r="M263" s="12"/>
      <c r="P263" s="19"/>
    </row>
    <row r="264" spans="1:16" s="13" customFormat="1" ht="15">
      <c r="A264" s="503" t="s">
        <v>6</v>
      </c>
      <c r="B264" s="504"/>
      <c r="C264" s="221">
        <f>+C256+C252+C229</f>
        <v>146877.84</v>
      </c>
      <c r="D264" s="221">
        <f>+D256+D252+D229</f>
        <v>120750</v>
      </c>
      <c r="E264" s="221">
        <f>+E256+E252+E229</f>
        <v>120750</v>
      </c>
      <c r="F264" s="221">
        <f>+F256+F252+F229</f>
        <v>34456.75</v>
      </c>
      <c r="G264" s="198">
        <f t="shared" si="14"/>
        <v>23.45946127748066</v>
      </c>
      <c r="H264" s="199">
        <f t="shared" si="15"/>
        <v>28.53561076604555</v>
      </c>
      <c r="I264" s="12"/>
      <c r="J264" s="12"/>
      <c r="K264" s="12"/>
      <c r="L264" s="12"/>
      <c r="M264" s="12"/>
      <c r="P264" s="19"/>
    </row>
    <row r="265" spans="1:16" s="13" customFormat="1" ht="15.75" customHeight="1">
      <c r="A265" s="11"/>
      <c r="B265" s="11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P265" s="19"/>
    </row>
    <row r="266" spans="1:16" s="36" customFormat="1" ht="15">
      <c r="A266" s="209" t="s">
        <v>81</v>
      </c>
      <c r="B266" s="208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P266" s="81"/>
    </row>
    <row r="267" spans="1:16" s="13" customFormat="1" ht="14.25" customHeight="1">
      <c r="A267" s="468" t="s">
        <v>78</v>
      </c>
      <c r="B267" s="470" t="s">
        <v>3</v>
      </c>
      <c r="C267" s="470" t="s">
        <v>74</v>
      </c>
      <c r="D267" s="465" t="s">
        <v>169</v>
      </c>
      <c r="E267" s="465" t="s">
        <v>170</v>
      </c>
      <c r="F267" s="465" t="s">
        <v>171</v>
      </c>
      <c r="G267" s="465" t="s">
        <v>75</v>
      </c>
      <c r="H267" s="465" t="s">
        <v>75</v>
      </c>
      <c r="I267" s="12"/>
      <c r="J267" s="12"/>
      <c r="K267" s="12"/>
      <c r="L267" s="12"/>
      <c r="M267" s="12"/>
      <c r="P267" s="19"/>
    </row>
    <row r="268" spans="1:16" s="13" customFormat="1" ht="28.5" customHeight="1">
      <c r="A268" s="469"/>
      <c r="B268" s="471"/>
      <c r="C268" s="471"/>
      <c r="D268" s="466"/>
      <c r="E268" s="466"/>
      <c r="F268" s="466"/>
      <c r="G268" s="466"/>
      <c r="H268" s="466"/>
      <c r="I268" s="12"/>
      <c r="J268" s="12"/>
      <c r="K268" s="12"/>
      <c r="L268" s="12"/>
      <c r="M268" s="12"/>
      <c r="P268" s="19"/>
    </row>
    <row r="269" spans="1:16" s="13" customFormat="1" ht="15">
      <c r="A269" s="473">
        <v>1</v>
      </c>
      <c r="B269" s="473"/>
      <c r="C269" s="73">
        <v>2</v>
      </c>
      <c r="D269" s="74">
        <v>3</v>
      </c>
      <c r="E269" s="74">
        <v>4</v>
      </c>
      <c r="F269" s="74">
        <v>5</v>
      </c>
      <c r="G269" s="74" t="s">
        <v>76</v>
      </c>
      <c r="H269" s="74" t="s">
        <v>77</v>
      </c>
      <c r="I269" s="12"/>
      <c r="J269" s="12"/>
      <c r="K269" s="12"/>
      <c r="L269" s="12"/>
      <c r="M269" s="12"/>
      <c r="P269" s="19"/>
    </row>
    <row r="270" spans="1:16" s="13" customFormat="1" ht="15">
      <c r="A270" s="222">
        <v>32</v>
      </c>
      <c r="B270" s="179" t="s">
        <v>11</v>
      </c>
      <c r="C270" s="158">
        <f>SUM(C271)</f>
        <v>8192.54</v>
      </c>
      <c r="D270" s="158">
        <f>SUM(D271)</f>
        <v>5000</v>
      </c>
      <c r="E270" s="158">
        <f>SUM(E271)</f>
        <v>5000</v>
      </c>
      <c r="F270" s="158">
        <f>SUM(F271)</f>
        <v>5000</v>
      </c>
      <c r="G270" s="390">
        <f>F270/C270*100</f>
        <v>61.03113320166883</v>
      </c>
      <c r="H270" s="391">
        <f>F270/E270*100</f>
        <v>100</v>
      </c>
      <c r="I270" s="12"/>
      <c r="J270" s="12"/>
      <c r="K270" s="12"/>
      <c r="L270" s="12"/>
      <c r="M270" s="12"/>
      <c r="P270" s="19"/>
    </row>
    <row r="271" spans="1:16" s="13" customFormat="1" ht="15">
      <c r="A271" s="205">
        <v>322</v>
      </c>
      <c r="B271" s="166" t="s">
        <v>14</v>
      </c>
      <c r="C271" s="223">
        <f>+C272+C273</f>
        <v>8192.54</v>
      </c>
      <c r="D271" s="270">
        <f>SUM(D273)</f>
        <v>5000</v>
      </c>
      <c r="E271" s="220">
        <f>SUM(E273)</f>
        <v>5000</v>
      </c>
      <c r="F271" s="220">
        <f>SUM(F273)</f>
        <v>5000</v>
      </c>
      <c r="G271" s="163">
        <f>F271/C271*100</f>
        <v>61.03113320166883</v>
      </c>
      <c r="H271" s="387">
        <f>F271/E271*100</f>
        <v>100</v>
      </c>
      <c r="I271" s="12"/>
      <c r="J271" s="12"/>
      <c r="K271" s="12"/>
      <c r="L271" s="12"/>
      <c r="M271" s="12"/>
      <c r="P271" s="19"/>
    </row>
    <row r="272" spans="1:16" s="13" customFormat="1" ht="30">
      <c r="A272" s="274">
        <v>3224</v>
      </c>
      <c r="B272" s="275" t="s">
        <v>192</v>
      </c>
      <c r="C272" s="273"/>
      <c r="D272" s="276">
        <v>5000</v>
      </c>
      <c r="E272" s="277">
        <f>+D272</f>
        <v>5000</v>
      </c>
      <c r="F272" s="277">
        <v>5000</v>
      </c>
      <c r="G272" s="32" t="e">
        <f>F272/C272*100</f>
        <v>#DIV/0!</v>
      </c>
      <c r="H272" s="342">
        <f>F272/E272*100</f>
        <v>100</v>
      </c>
      <c r="I272" s="12"/>
      <c r="J272" s="12"/>
      <c r="K272" s="12"/>
      <c r="L272" s="12"/>
      <c r="M272" s="12"/>
      <c r="P272" s="19"/>
    </row>
    <row r="273" spans="1:16" s="41" customFormat="1" ht="15">
      <c r="A273" s="65">
        <v>3225</v>
      </c>
      <c r="B273" s="62" t="s">
        <v>156</v>
      </c>
      <c r="C273" s="83">
        <v>8192.54</v>
      </c>
      <c r="D273" s="87">
        <v>5000</v>
      </c>
      <c r="E273" s="87">
        <f>+D273</f>
        <v>5000</v>
      </c>
      <c r="F273" s="87">
        <v>5000</v>
      </c>
      <c r="G273" s="194">
        <f>F273/C273*100</f>
        <v>61.03113320166883</v>
      </c>
      <c r="H273" s="195">
        <f>F273/E273*100</f>
        <v>100</v>
      </c>
      <c r="I273" s="23"/>
      <c r="J273" s="23"/>
      <c r="K273" s="23"/>
      <c r="L273" s="23"/>
      <c r="M273" s="23"/>
      <c r="P273" s="3"/>
    </row>
    <row r="274" spans="1:16" s="13" customFormat="1" ht="15">
      <c r="A274" s="503" t="s">
        <v>6</v>
      </c>
      <c r="B274" s="504"/>
      <c r="C274" s="185">
        <f>+C272+C273</f>
        <v>8192.54</v>
      </c>
      <c r="D274" s="185">
        <f>+D272+D273</f>
        <v>10000</v>
      </c>
      <c r="E274" s="185">
        <f>+E272+E273</f>
        <v>10000</v>
      </c>
      <c r="F274" s="185">
        <f>+F272+F273</f>
        <v>10000</v>
      </c>
      <c r="G274" s="198">
        <f>F274/C274*100</f>
        <v>122.06226640333766</v>
      </c>
      <c r="H274" s="199">
        <f>F274/E274*100</f>
        <v>100</v>
      </c>
      <c r="I274" s="12"/>
      <c r="J274" s="12"/>
      <c r="K274" s="12"/>
      <c r="L274" s="12"/>
      <c r="M274" s="12"/>
      <c r="P274" s="19"/>
    </row>
    <row r="275" spans="1:16" s="13" customFormat="1" ht="15">
      <c r="A275" s="11"/>
      <c r="B275" s="11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P275" s="19"/>
    </row>
    <row r="276" spans="1:16" s="13" customFormat="1" ht="15">
      <c r="A276" s="207" t="s">
        <v>33</v>
      </c>
      <c r="B276" s="208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P276" s="19"/>
    </row>
    <row r="277" spans="1:16" s="13" customFormat="1" ht="15.75" customHeight="1">
      <c r="A277" s="468" t="s">
        <v>78</v>
      </c>
      <c r="B277" s="470" t="s">
        <v>3</v>
      </c>
      <c r="C277" s="470" t="s">
        <v>74</v>
      </c>
      <c r="D277" s="465" t="s">
        <v>169</v>
      </c>
      <c r="E277" s="465" t="s">
        <v>170</v>
      </c>
      <c r="F277" s="465" t="s">
        <v>171</v>
      </c>
      <c r="G277" s="465" t="s">
        <v>75</v>
      </c>
      <c r="H277" s="465" t="s">
        <v>75</v>
      </c>
      <c r="I277" s="12"/>
      <c r="J277" s="12"/>
      <c r="K277" s="12"/>
      <c r="L277" s="12"/>
      <c r="M277" s="12"/>
      <c r="P277" s="19"/>
    </row>
    <row r="278" spans="1:16" s="13" customFormat="1" ht="36" customHeight="1">
      <c r="A278" s="469"/>
      <c r="B278" s="471"/>
      <c r="C278" s="471"/>
      <c r="D278" s="466"/>
      <c r="E278" s="466"/>
      <c r="F278" s="466"/>
      <c r="G278" s="466"/>
      <c r="H278" s="466"/>
      <c r="I278" s="12"/>
      <c r="J278" s="12"/>
      <c r="K278" s="12"/>
      <c r="L278" s="12"/>
      <c r="M278" s="12"/>
      <c r="P278" s="19"/>
    </row>
    <row r="279" spans="1:16" s="13" customFormat="1" ht="15">
      <c r="A279" s="473">
        <v>1</v>
      </c>
      <c r="B279" s="473"/>
      <c r="C279" s="73">
        <v>2</v>
      </c>
      <c r="D279" s="74">
        <v>3</v>
      </c>
      <c r="E279" s="74">
        <v>4</v>
      </c>
      <c r="F279" s="74">
        <v>5</v>
      </c>
      <c r="G279" s="74" t="s">
        <v>76</v>
      </c>
      <c r="H279" s="74" t="s">
        <v>77</v>
      </c>
      <c r="I279" s="12"/>
      <c r="J279" s="12"/>
      <c r="K279" s="12"/>
      <c r="L279" s="12"/>
      <c r="M279" s="12"/>
      <c r="P279" s="19"/>
    </row>
    <row r="280" spans="1:16" s="13" customFormat="1" ht="15">
      <c r="A280" s="222">
        <v>31</v>
      </c>
      <c r="B280" s="179" t="s">
        <v>7</v>
      </c>
      <c r="C280" s="218">
        <f>SUM(C281,C284,C286)</f>
        <v>12603880.36</v>
      </c>
      <c r="D280" s="218">
        <f>+D281+D284+D286</f>
        <v>12656297</v>
      </c>
      <c r="E280" s="218">
        <f>+E281+E284+E286</f>
        <v>12656297</v>
      </c>
      <c r="F280" s="218">
        <f>+F281+F284+F286</f>
        <v>13312725</v>
      </c>
      <c r="G280" s="390">
        <f>F280/C280*100</f>
        <v>105.62401910961967</v>
      </c>
      <c r="H280" s="391">
        <f>F280/E280*100</f>
        <v>105.18657234418566</v>
      </c>
      <c r="I280" s="12"/>
      <c r="J280" s="12"/>
      <c r="K280" s="12"/>
      <c r="L280" s="12"/>
      <c r="M280" s="12"/>
      <c r="P280" s="19"/>
    </row>
    <row r="281" spans="1:16" s="13" customFormat="1" ht="15">
      <c r="A281" s="205">
        <v>311</v>
      </c>
      <c r="B281" s="166" t="s">
        <v>165</v>
      </c>
      <c r="C281" s="220">
        <f>SUM(C282)+C283</f>
        <v>10474631.12</v>
      </c>
      <c r="D281" s="220">
        <f>+D282+D283</f>
        <v>10525617</v>
      </c>
      <c r="E281" s="220">
        <f>+E282+E283</f>
        <v>10525617</v>
      </c>
      <c r="F281" s="220">
        <f>+F282+F283</f>
        <v>11003771</v>
      </c>
      <c r="G281" s="163">
        <f aca="true" t="shared" si="19" ref="G281:G308">F281/C281*100</f>
        <v>105.05163259629902</v>
      </c>
      <c r="H281" s="387">
        <f aca="true" t="shared" si="20" ref="H281:H308">F281/E281*100</f>
        <v>104.54276457142609</v>
      </c>
      <c r="I281" s="12"/>
      <c r="J281" s="12"/>
      <c r="K281" s="12"/>
      <c r="L281" s="12"/>
      <c r="M281" s="12"/>
      <c r="P281" s="19"/>
    </row>
    <row r="282" spans="1:16" s="13" customFormat="1" ht="15">
      <c r="A282" s="20">
        <v>3111</v>
      </c>
      <c r="B282" s="21" t="s">
        <v>83</v>
      </c>
      <c r="C282" s="82">
        <v>10349554.62</v>
      </c>
      <c r="D282" s="124">
        <v>10343217</v>
      </c>
      <c r="E282" s="124">
        <f>+D282</f>
        <v>10343217</v>
      </c>
      <c r="F282" s="124">
        <v>10782457</v>
      </c>
      <c r="G282" s="32">
        <f t="shared" si="19"/>
        <v>104.18281168508874</v>
      </c>
      <c r="H282" s="342">
        <f t="shared" si="20"/>
        <v>104.2466478272669</v>
      </c>
      <c r="I282" s="12"/>
      <c r="J282" s="12"/>
      <c r="K282" s="12"/>
      <c r="L282" s="12"/>
      <c r="M282" s="12"/>
      <c r="P282" s="19"/>
    </row>
    <row r="283" spans="1:16" s="13" customFormat="1" ht="15">
      <c r="A283" s="20">
        <v>3113</v>
      </c>
      <c r="B283" s="21" t="s">
        <v>182</v>
      </c>
      <c r="C283" s="82">
        <v>125076.5</v>
      </c>
      <c r="D283" s="124">
        <v>182400</v>
      </c>
      <c r="E283" s="124">
        <f>+D283</f>
        <v>182400</v>
      </c>
      <c r="F283" s="124">
        <v>221314</v>
      </c>
      <c r="G283" s="32"/>
      <c r="H283" s="342"/>
      <c r="I283" s="12"/>
      <c r="J283" s="12"/>
      <c r="K283" s="12"/>
      <c r="L283" s="12"/>
      <c r="M283" s="12"/>
      <c r="P283" s="19"/>
    </row>
    <row r="284" spans="1:16" s="13" customFormat="1" ht="15">
      <c r="A284" s="205">
        <v>312</v>
      </c>
      <c r="B284" s="166" t="s">
        <v>166</v>
      </c>
      <c r="C284" s="220">
        <f>SUM(C285)</f>
        <v>384347.78</v>
      </c>
      <c r="D284" s="220">
        <f>SUM(D285)</f>
        <v>393953</v>
      </c>
      <c r="E284" s="220">
        <f>SUM(E285)</f>
        <v>393953</v>
      </c>
      <c r="F284" s="220">
        <f>SUM(F285)</f>
        <v>478785</v>
      </c>
      <c r="G284" s="163">
        <f t="shared" si="19"/>
        <v>124.57077285577141</v>
      </c>
      <c r="H284" s="387">
        <f t="shared" si="20"/>
        <v>121.53353318796914</v>
      </c>
      <c r="I284" s="12"/>
      <c r="J284" s="12"/>
      <c r="K284" s="12"/>
      <c r="L284" s="12"/>
      <c r="M284" s="12"/>
      <c r="P284" s="19"/>
    </row>
    <row r="285" spans="1:16" s="13" customFormat="1" ht="15">
      <c r="A285" s="235">
        <v>3121</v>
      </c>
      <c r="B285" s="236" t="s">
        <v>166</v>
      </c>
      <c r="C285" s="326">
        <v>384347.78</v>
      </c>
      <c r="D285" s="326">
        <v>393953</v>
      </c>
      <c r="E285" s="326">
        <f>+D285</f>
        <v>393953</v>
      </c>
      <c r="F285" s="110">
        <v>478785</v>
      </c>
      <c r="G285" s="32">
        <f t="shared" si="19"/>
        <v>124.57077285577141</v>
      </c>
      <c r="H285" s="342">
        <f t="shared" si="20"/>
        <v>121.53353318796914</v>
      </c>
      <c r="I285" s="12"/>
      <c r="J285" s="12"/>
      <c r="K285" s="12"/>
      <c r="L285" s="12"/>
      <c r="M285" s="12"/>
      <c r="P285" s="19"/>
    </row>
    <row r="286" spans="1:16" s="13" customFormat="1" ht="15">
      <c r="A286" s="205">
        <v>313</v>
      </c>
      <c r="B286" s="166" t="s">
        <v>10</v>
      </c>
      <c r="C286" s="220">
        <f>SUM(C287:C287)+C288</f>
        <v>1744901.46</v>
      </c>
      <c r="D286" s="220">
        <f>SUM(D287:D287)</f>
        <v>1736727</v>
      </c>
      <c r="E286" s="220">
        <f>SUM(E287:E287)</f>
        <v>1736727</v>
      </c>
      <c r="F286" s="220">
        <f>SUM(F287:F287)</f>
        <v>1830169</v>
      </c>
      <c r="G286" s="163">
        <f t="shared" si="19"/>
        <v>104.88666792679513</v>
      </c>
      <c r="H286" s="387">
        <f t="shared" si="20"/>
        <v>105.38035050989592</v>
      </c>
      <c r="I286" s="12"/>
      <c r="J286" s="12"/>
      <c r="K286" s="12"/>
      <c r="L286" s="12"/>
      <c r="M286" s="12"/>
      <c r="P286" s="19"/>
    </row>
    <row r="287" spans="1:16" s="13" customFormat="1" ht="15">
      <c r="A287" s="235">
        <v>3132</v>
      </c>
      <c r="B287" s="236" t="s">
        <v>84</v>
      </c>
      <c r="C287" s="326">
        <v>1730515</v>
      </c>
      <c r="D287" s="326">
        <v>1736727</v>
      </c>
      <c r="E287" s="326">
        <f>+D287</f>
        <v>1736727</v>
      </c>
      <c r="F287" s="110">
        <v>1830169</v>
      </c>
      <c r="G287" s="32">
        <f t="shared" si="19"/>
        <v>105.75863254580284</v>
      </c>
      <c r="H287" s="342">
        <f t="shared" si="20"/>
        <v>105.38035050989592</v>
      </c>
      <c r="I287" s="12"/>
      <c r="J287" s="12"/>
      <c r="K287" s="12"/>
      <c r="L287" s="12"/>
      <c r="M287" s="12"/>
      <c r="P287" s="19"/>
    </row>
    <row r="288" spans="1:16" s="13" customFormat="1" ht="30">
      <c r="A288" s="235">
        <v>3133</v>
      </c>
      <c r="B288" s="72" t="s">
        <v>85</v>
      </c>
      <c r="C288" s="326">
        <v>14386.46</v>
      </c>
      <c r="D288" s="326"/>
      <c r="E288" s="326"/>
      <c r="F288" s="110"/>
      <c r="G288" s="32">
        <f>F288/C288*100</f>
        <v>0</v>
      </c>
      <c r="H288" s="342" t="e">
        <f>F288/E288*100</f>
        <v>#DIV/0!</v>
      </c>
      <c r="I288" s="12"/>
      <c r="J288" s="12"/>
      <c r="K288" s="12"/>
      <c r="L288" s="12"/>
      <c r="M288" s="12"/>
      <c r="P288" s="19"/>
    </row>
    <row r="289" spans="1:16" s="13" customFormat="1" ht="15">
      <c r="A289" s="202">
        <v>32</v>
      </c>
      <c r="B289" s="181" t="s">
        <v>11</v>
      </c>
      <c r="C289" s="219">
        <f>SUM(C290,C292,C294,C298)</f>
        <v>92320.93</v>
      </c>
      <c r="D289" s="219">
        <f>+D290+D292+D294+D296+D298</f>
        <v>94647.5</v>
      </c>
      <c r="E289" s="219">
        <f>+E290+E292+E294+E296+E298</f>
        <v>94647.5</v>
      </c>
      <c r="F289" s="219">
        <f>+F290+F292+F294+F296+F298</f>
        <v>86068.79000000001</v>
      </c>
      <c r="G289" s="159">
        <f t="shared" si="19"/>
        <v>93.22781952044895</v>
      </c>
      <c r="H289" s="388">
        <f t="shared" si="20"/>
        <v>90.93614728334083</v>
      </c>
      <c r="I289" s="12"/>
      <c r="J289" s="12"/>
      <c r="K289" s="12"/>
      <c r="L289" s="12"/>
      <c r="M289" s="12"/>
      <c r="P289" s="19"/>
    </row>
    <row r="290" spans="1:16" s="13" customFormat="1" ht="15">
      <c r="A290" s="205">
        <v>321</v>
      </c>
      <c r="B290" s="166" t="s">
        <v>12</v>
      </c>
      <c r="C290" s="220">
        <f>SUM(C291:C291)</f>
        <v>2467</v>
      </c>
      <c r="D290" s="220">
        <f>SUM(D291:D291)</f>
        <v>700</v>
      </c>
      <c r="E290" s="220">
        <f>SUM(E291:E291)</f>
        <v>700</v>
      </c>
      <c r="F290" s="220">
        <f>SUM(F291:F291)</f>
        <v>364</v>
      </c>
      <c r="G290" s="163">
        <f t="shared" si="19"/>
        <v>14.754762869882448</v>
      </c>
      <c r="H290" s="387">
        <f t="shared" si="20"/>
        <v>52</v>
      </c>
      <c r="I290" s="12"/>
      <c r="J290" s="12"/>
      <c r="K290" s="12"/>
      <c r="L290" s="12"/>
      <c r="M290" s="12"/>
      <c r="P290" s="19"/>
    </row>
    <row r="291" spans="1:16" s="13" customFormat="1" ht="15">
      <c r="A291" s="258">
        <v>3211</v>
      </c>
      <c r="B291" s="259" t="s">
        <v>87</v>
      </c>
      <c r="C291" s="260">
        <v>2467</v>
      </c>
      <c r="D291" s="260">
        <v>700</v>
      </c>
      <c r="E291" s="260">
        <f>+D291</f>
        <v>700</v>
      </c>
      <c r="F291" s="260">
        <v>364</v>
      </c>
      <c r="G291" s="324"/>
      <c r="H291" s="406"/>
      <c r="I291" s="12"/>
      <c r="J291" s="12"/>
      <c r="K291" s="12"/>
      <c r="L291" s="12"/>
      <c r="M291" s="12"/>
      <c r="P291" s="19"/>
    </row>
    <row r="292" spans="1:16" s="13" customFormat="1" ht="15">
      <c r="A292" s="227">
        <v>322</v>
      </c>
      <c r="B292" s="228" t="s">
        <v>14</v>
      </c>
      <c r="C292" s="229">
        <f>+C293</f>
        <v>894.1</v>
      </c>
      <c r="D292" s="229">
        <f>+D293</f>
        <v>1500</v>
      </c>
      <c r="E292" s="229">
        <f>+E293</f>
        <v>1500</v>
      </c>
      <c r="F292" s="229">
        <f>+F293</f>
        <v>0</v>
      </c>
      <c r="G292" s="163">
        <f t="shared" si="19"/>
        <v>0</v>
      </c>
      <c r="H292" s="387">
        <f t="shared" si="20"/>
        <v>0</v>
      </c>
      <c r="I292" s="12"/>
      <c r="J292" s="12"/>
      <c r="K292" s="12"/>
      <c r="L292" s="12"/>
      <c r="M292" s="12"/>
      <c r="P292" s="19"/>
    </row>
    <row r="293" spans="1:16" s="13" customFormat="1" ht="15">
      <c r="A293" s="20">
        <v>3222</v>
      </c>
      <c r="B293" s="21" t="s">
        <v>131</v>
      </c>
      <c r="C293" s="82">
        <v>894.1</v>
      </c>
      <c r="D293" s="22">
        <v>1500</v>
      </c>
      <c r="E293" s="22">
        <f>+D293</f>
        <v>1500</v>
      </c>
      <c r="F293" s="22">
        <v>0</v>
      </c>
      <c r="G293" s="32"/>
      <c r="H293" s="342"/>
      <c r="I293" s="12"/>
      <c r="J293" s="12"/>
      <c r="K293" s="12"/>
      <c r="L293" s="12"/>
      <c r="M293" s="12"/>
      <c r="P293" s="19"/>
    </row>
    <row r="294" spans="1:16" s="13" customFormat="1" ht="15">
      <c r="A294" s="227">
        <v>323</v>
      </c>
      <c r="B294" s="228" t="s">
        <v>16</v>
      </c>
      <c r="C294" s="229">
        <f>+C295</f>
        <v>46360.19</v>
      </c>
      <c r="D294" s="229">
        <f>+D295</f>
        <v>60200</v>
      </c>
      <c r="E294" s="229">
        <f>+E295</f>
        <v>60200</v>
      </c>
      <c r="F294" s="229">
        <f>+F295</f>
        <v>53079.79</v>
      </c>
      <c r="G294" s="163">
        <f t="shared" si="19"/>
        <v>114.49433231399613</v>
      </c>
      <c r="H294" s="387">
        <f t="shared" si="20"/>
        <v>88.17240863787376</v>
      </c>
      <c r="I294" s="12"/>
      <c r="J294" s="12"/>
      <c r="K294" s="12"/>
      <c r="L294" s="12"/>
      <c r="M294" s="12"/>
      <c r="P294" s="19"/>
    </row>
    <row r="295" spans="1:16" s="13" customFormat="1" ht="15">
      <c r="A295" s="20">
        <v>3237</v>
      </c>
      <c r="B295" s="21" t="s">
        <v>183</v>
      </c>
      <c r="C295" s="82">
        <v>46360.19</v>
      </c>
      <c r="D295" s="22">
        <v>60200</v>
      </c>
      <c r="E295" s="22">
        <f>+D295</f>
        <v>60200</v>
      </c>
      <c r="F295" s="22">
        <v>53079.79</v>
      </c>
      <c r="G295" s="32">
        <f t="shared" si="19"/>
        <v>114.49433231399613</v>
      </c>
      <c r="H295" s="342">
        <f t="shared" si="20"/>
        <v>88.17240863787376</v>
      </c>
      <c r="I295" s="12"/>
      <c r="J295" s="12"/>
      <c r="K295" s="12"/>
      <c r="L295" s="12"/>
      <c r="M295" s="12"/>
      <c r="P295" s="19"/>
    </row>
    <row r="296" spans="1:16" s="13" customFormat="1" ht="30">
      <c r="A296" s="227">
        <v>324</v>
      </c>
      <c r="B296" s="228" t="s">
        <v>184</v>
      </c>
      <c r="C296" s="229">
        <f>+C297</f>
        <v>0</v>
      </c>
      <c r="D296" s="229">
        <f>+D297</f>
        <v>560</v>
      </c>
      <c r="E296" s="229">
        <f>+E297</f>
        <v>560</v>
      </c>
      <c r="F296" s="229">
        <f>+F297</f>
        <v>0</v>
      </c>
      <c r="G296" s="169"/>
      <c r="H296" s="367"/>
      <c r="I296" s="12"/>
      <c r="J296" s="12"/>
      <c r="K296" s="12"/>
      <c r="L296" s="12"/>
      <c r="M296" s="12"/>
      <c r="P296" s="19"/>
    </row>
    <row r="297" spans="1:16" s="13" customFormat="1" ht="30">
      <c r="A297" s="20">
        <v>3241</v>
      </c>
      <c r="B297" s="261" t="s">
        <v>184</v>
      </c>
      <c r="C297" s="82"/>
      <c r="D297" s="22">
        <v>560</v>
      </c>
      <c r="E297" s="22">
        <f>+D297</f>
        <v>560</v>
      </c>
      <c r="F297" s="22">
        <v>0</v>
      </c>
      <c r="G297" s="32"/>
      <c r="H297" s="342"/>
      <c r="I297" s="12"/>
      <c r="J297" s="12"/>
      <c r="K297" s="12"/>
      <c r="L297" s="12"/>
      <c r="M297" s="12"/>
      <c r="P297" s="19"/>
    </row>
    <row r="298" spans="1:16" s="13" customFormat="1" ht="15">
      <c r="A298" s="205">
        <v>329</v>
      </c>
      <c r="B298" s="166" t="s">
        <v>18</v>
      </c>
      <c r="C298" s="220">
        <f>SUM(C299)</f>
        <v>42599.64</v>
      </c>
      <c r="D298" s="220">
        <f>SUM(D299)</f>
        <v>31687.5</v>
      </c>
      <c r="E298" s="220">
        <f>SUM(E299)</f>
        <v>31687.5</v>
      </c>
      <c r="F298" s="220">
        <f>SUM(F299)</f>
        <v>32625</v>
      </c>
      <c r="G298" s="163">
        <f t="shared" si="19"/>
        <v>76.58515424074007</v>
      </c>
      <c r="H298" s="387">
        <f t="shared" si="20"/>
        <v>102.9585798816568</v>
      </c>
      <c r="I298" s="12"/>
      <c r="J298" s="12"/>
      <c r="K298" s="12"/>
      <c r="L298" s="12"/>
      <c r="M298" s="12"/>
      <c r="P298" s="19"/>
    </row>
    <row r="299" spans="1:16" s="13" customFormat="1" ht="15">
      <c r="A299" s="65">
        <v>3295</v>
      </c>
      <c r="B299" s="62" t="s">
        <v>106</v>
      </c>
      <c r="C299" s="83">
        <v>42599.64</v>
      </c>
      <c r="D299" s="63">
        <v>31687.5</v>
      </c>
      <c r="E299" s="63">
        <f>+D299</f>
        <v>31687.5</v>
      </c>
      <c r="F299" s="63">
        <v>32625</v>
      </c>
      <c r="G299" s="32">
        <f t="shared" si="19"/>
        <v>76.58515424074007</v>
      </c>
      <c r="H299" s="342">
        <f t="shared" si="20"/>
        <v>102.9585798816568</v>
      </c>
      <c r="I299" s="12"/>
      <c r="J299" s="12"/>
      <c r="K299" s="12"/>
      <c r="L299" s="12"/>
      <c r="M299" s="12"/>
      <c r="P299" s="19"/>
    </row>
    <row r="300" spans="1:16" s="13" customFormat="1" ht="15" customHeight="1">
      <c r="A300" s="224">
        <v>37</v>
      </c>
      <c r="B300" s="225" t="s">
        <v>167</v>
      </c>
      <c r="C300" s="230">
        <f>SUM(C301)</f>
        <v>0</v>
      </c>
      <c r="D300" s="230">
        <f aca="true" t="shared" si="21" ref="D300:F301">SUM(D301)</f>
        <v>500</v>
      </c>
      <c r="E300" s="230">
        <f t="shared" si="21"/>
        <v>500</v>
      </c>
      <c r="F300" s="230">
        <f t="shared" si="21"/>
        <v>766.9</v>
      </c>
      <c r="G300" s="159" t="e">
        <f t="shared" si="19"/>
        <v>#DIV/0!</v>
      </c>
      <c r="H300" s="388">
        <f t="shared" si="20"/>
        <v>153.38</v>
      </c>
      <c r="I300" s="12"/>
      <c r="J300" s="12"/>
      <c r="K300" s="12"/>
      <c r="L300" s="12"/>
      <c r="M300" s="12"/>
      <c r="P300" s="19"/>
    </row>
    <row r="301" spans="1:16" s="13" customFormat="1" ht="25.5" customHeight="1">
      <c r="A301" s="227">
        <v>372</v>
      </c>
      <c r="B301" s="228" t="s">
        <v>168</v>
      </c>
      <c r="C301" s="229">
        <f>SUM(C302)</f>
        <v>0</v>
      </c>
      <c r="D301" s="229">
        <f t="shared" si="21"/>
        <v>500</v>
      </c>
      <c r="E301" s="229">
        <f t="shared" si="21"/>
        <v>500</v>
      </c>
      <c r="F301" s="229">
        <f t="shared" si="21"/>
        <v>766.9</v>
      </c>
      <c r="G301" s="163" t="e">
        <f t="shared" si="19"/>
        <v>#DIV/0!</v>
      </c>
      <c r="H301" s="387">
        <f t="shared" si="20"/>
        <v>153.38</v>
      </c>
      <c r="I301" s="12"/>
      <c r="J301" s="12"/>
      <c r="K301" s="12"/>
      <c r="L301" s="12"/>
      <c r="M301" s="12"/>
      <c r="P301" s="19"/>
    </row>
    <row r="302" spans="1:16" s="13" customFormat="1" ht="15">
      <c r="A302" s="154">
        <v>3722</v>
      </c>
      <c r="B302" s="72" t="s">
        <v>146</v>
      </c>
      <c r="C302" s="82"/>
      <c r="D302" s="23">
        <v>500</v>
      </c>
      <c r="E302" s="23">
        <f>+D301:D302</f>
        <v>500</v>
      </c>
      <c r="F302" s="23">
        <v>766.9</v>
      </c>
      <c r="G302" s="32" t="e">
        <f t="shared" si="19"/>
        <v>#DIV/0!</v>
      </c>
      <c r="H302" s="342">
        <f t="shared" si="20"/>
        <v>153.38</v>
      </c>
      <c r="I302" s="12"/>
      <c r="J302" s="12"/>
      <c r="K302" s="12"/>
      <c r="L302" s="12"/>
      <c r="M302" s="12"/>
      <c r="P302" s="19"/>
    </row>
    <row r="303" spans="1:16" s="13" customFormat="1" ht="30">
      <c r="A303" s="224">
        <v>42</v>
      </c>
      <c r="B303" s="294" t="s">
        <v>22</v>
      </c>
      <c r="C303" s="226">
        <f>+C304+C306</f>
        <v>35809</v>
      </c>
      <c r="D303" s="176"/>
      <c r="E303" s="176"/>
      <c r="F303" s="176"/>
      <c r="G303" s="159">
        <f>F303/C303*100</f>
        <v>0</v>
      </c>
      <c r="H303" s="388" t="e">
        <f>F303/E303*100</f>
        <v>#DIV/0!</v>
      </c>
      <c r="I303" s="12"/>
      <c r="J303" s="12"/>
      <c r="K303" s="12"/>
      <c r="L303" s="12"/>
      <c r="M303" s="12"/>
      <c r="P303" s="19"/>
    </row>
    <row r="304" spans="1:16" s="13" customFormat="1" ht="15">
      <c r="A304" s="190">
        <v>422</v>
      </c>
      <c r="B304" s="402" t="s">
        <v>21</v>
      </c>
      <c r="C304" s="278">
        <f>+C305</f>
        <v>26367.5</v>
      </c>
      <c r="D304" s="403"/>
      <c r="E304" s="403"/>
      <c r="F304" s="403"/>
      <c r="G304" s="163">
        <f>F304/C304*100</f>
        <v>0</v>
      </c>
      <c r="H304" s="387" t="e">
        <f>F304/E304*100</f>
        <v>#DIV/0!</v>
      </c>
      <c r="I304" s="12"/>
      <c r="J304" s="12"/>
      <c r="K304" s="12"/>
      <c r="L304" s="12"/>
      <c r="M304" s="12"/>
      <c r="P304" s="19"/>
    </row>
    <row r="305" spans="1:16" s="13" customFormat="1" ht="15">
      <c r="A305" s="258">
        <v>4221</v>
      </c>
      <c r="B305" s="404" t="s">
        <v>111</v>
      </c>
      <c r="C305" s="82">
        <v>26367.5</v>
      </c>
      <c r="D305" s="22"/>
      <c r="E305" s="22"/>
      <c r="F305" s="22"/>
      <c r="G305" s="32">
        <f>F305/C305*100</f>
        <v>0</v>
      </c>
      <c r="H305" s="342" t="e">
        <f>F305/E305*100</f>
        <v>#DIV/0!</v>
      </c>
      <c r="I305" s="12"/>
      <c r="J305" s="12"/>
      <c r="K305" s="12"/>
      <c r="L305" s="12"/>
      <c r="M305" s="12"/>
      <c r="P305" s="19"/>
    </row>
    <row r="306" spans="1:16" s="13" customFormat="1" ht="30">
      <c r="A306" s="190">
        <v>424</v>
      </c>
      <c r="B306" s="394" t="s">
        <v>197</v>
      </c>
      <c r="C306" s="231">
        <f>+C307</f>
        <v>9441.5</v>
      </c>
      <c r="D306" s="395"/>
      <c r="E306" s="395"/>
      <c r="F306" s="395"/>
      <c r="G306" s="163">
        <f>F306/C306*100</f>
        <v>0</v>
      </c>
      <c r="H306" s="387" t="e">
        <f>F306/E306*100</f>
        <v>#DIV/0!</v>
      </c>
      <c r="I306" s="12"/>
      <c r="J306" s="12"/>
      <c r="K306" s="12"/>
      <c r="L306" s="12"/>
      <c r="M306" s="12"/>
      <c r="P306" s="19"/>
    </row>
    <row r="307" spans="1:16" s="13" customFormat="1" ht="15">
      <c r="A307" s="453">
        <v>4241</v>
      </c>
      <c r="B307" s="405" t="s">
        <v>139</v>
      </c>
      <c r="C307" s="339">
        <v>9441.5</v>
      </c>
      <c r="D307" s="340"/>
      <c r="E307" s="340"/>
      <c r="F307" s="340"/>
      <c r="G307" s="194">
        <f>F307/C307*100</f>
        <v>0</v>
      </c>
      <c r="H307" s="195" t="e">
        <f>F307/E307*100</f>
        <v>#DIV/0!</v>
      </c>
      <c r="I307" s="12"/>
      <c r="J307" s="12"/>
      <c r="K307" s="12"/>
      <c r="L307" s="12"/>
      <c r="M307" s="12"/>
      <c r="P307" s="19"/>
    </row>
    <row r="308" spans="1:16" s="13" customFormat="1" ht="15">
      <c r="A308" s="503" t="s">
        <v>6</v>
      </c>
      <c r="B308" s="504"/>
      <c r="C308" s="221">
        <f>+C300+C289+C280+C303</f>
        <v>12732010.29</v>
      </c>
      <c r="D308" s="221">
        <f>+D300+D289+D280</f>
        <v>12751444.5</v>
      </c>
      <c r="E308" s="221">
        <f>+E300+E289+E280</f>
        <v>12751444.5</v>
      </c>
      <c r="F308" s="221">
        <f>+F300+F289+F280</f>
        <v>13399560.69</v>
      </c>
      <c r="G308" s="198">
        <f t="shared" si="19"/>
        <v>105.2430871857236</v>
      </c>
      <c r="H308" s="199">
        <f t="shared" si="20"/>
        <v>105.08268839659695</v>
      </c>
      <c r="I308" s="12"/>
      <c r="J308" s="12"/>
      <c r="K308" s="12"/>
      <c r="L308" s="12"/>
      <c r="M308" s="12"/>
      <c r="P308" s="19"/>
    </row>
    <row r="309" spans="1:16" s="13" customFormat="1" ht="15">
      <c r="A309" s="11"/>
      <c r="B309" s="11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P309" s="19"/>
    </row>
    <row r="310" spans="1:14" s="13" customFormat="1" ht="15">
      <c r="A310" s="207" t="s">
        <v>112</v>
      </c>
      <c r="B310" s="208"/>
      <c r="C310" s="12"/>
      <c r="D310" s="12"/>
      <c r="E310" s="12"/>
      <c r="F310" s="12"/>
      <c r="G310" s="12"/>
      <c r="H310" s="12"/>
      <c r="I310" s="12"/>
      <c r="J310" s="12"/>
      <c r="K310" s="12"/>
      <c r="N310" s="19"/>
    </row>
    <row r="311" spans="1:15" ht="19.5" customHeight="1">
      <c r="A311" s="468" t="s">
        <v>78</v>
      </c>
      <c r="B311" s="470" t="s">
        <v>3</v>
      </c>
      <c r="C311" s="470" t="s">
        <v>74</v>
      </c>
      <c r="D311" s="465" t="s">
        <v>169</v>
      </c>
      <c r="E311" s="465" t="s">
        <v>170</v>
      </c>
      <c r="F311" s="465" t="s">
        <v>171</v>
      </c>
      <c r="G311" s="465" t="s">
        <v>75</v>
      </c>
      <c r="H311" s="465" t="s">
        <v>75</v>
      </c>
      <c r="I311" s="39"/>
      <c r="J311" s="39"/>
      <c r="K311" s="39"/>
      <c r="L311" s="39"/>
      <c r="M311" s="39"/>
      <c r="N311" s="33"/>
      <c r="O311" s="33"/>
    </row>
    <row r="312" spans="1:15" ht="27.75" customHeight="1">
      <c r="A312" s="469"/>
      <c r="B312" s="471"/>
      <c r="C312" s="471"/>
      <c r="D312" s="466"/>
      <c r="E312" s="466"/>
      <c r="F312" s="466"/>
      <c r="G312" s="466"/>
      <c r="H312" s="466"/>
      <c r="I312" s="39"/>
      <c r="J312" s="39"/>
      <c r="K312" s="39"/>
      <c r="L312" s="39"/>
      <c r="M312" s="39"/>
      <c r="N312" s="33"/>
      <c r="O312" s="33"/>
    </row>
    <row r="313" spans="1:15" ht="15">
      <c r="A313" s="473">
        <v>1</v>
      </c>
      <c r="B313" s="473"/>
      <c r="C313" s="73">
        <v>2</v>
      </c>
      <c r="D313" s="74">
        <v>3</v>
      </c>
      <c r="E313" s="74">
        <v>4</v>
      </c>
      <c r="F313" s="74">
        <v>5</v>
      </c>
      <c r="G313" s="74" t="s">
        <v>76</v>
      </c>
      <c r="H313" s="74" t="s">
        <v>77</v>
      </c>
      <c r="I313" s="39"/>
      <c r="J313" s="39"/>
      <c r="K313" s="39"/>
      <c r="L313" s="39"/>
      <c r="M313" s="39"/>
      <c r="N313" s="33"/>
      <c r="O313" s="33"/>
    </row>
    <row r="314" spans="1:14" s="13" customFormat="1" ht="15">
      <c r="A314" s="202">
        <v>32</v>
      </c>
      <c r="B314" s="181" t="s">
        <v>11</v>
      </c>
      <c r="C314" s="233">
        <f>SUM(C315)</f>
        <v>2961.81</v>
      </c>
      <c r="D314" s="233">
        <f>SUM(D315)</f>
        <v>14727.85</v>
      </c>
      <c r="E314" s="233">
        <f>SUM(E315)</f>
        <v>14727.85</v>
      </c>
      <c r="F314" s="233">
        <f>SUM(F315)</f>
        <v>12082.82</v>
      </c>
      <c r="G314" s="390">
        <f>F314/C314*100</f>
        <v>407.95392006914693</v>
      </c>
      <c r="H314" s="391">
        <f>F314/E314*100</f>
        <v>82.0406237162926</v>
      </c>
      <c r="I314" s="12"/>
      <c r="J314" s="12"/>
      <c r="K314" s="12"/>
      <c r="N314" s="19"/>
    </row>
    <row r="315" spans="1:14" s="41" customFormat="1" ht="15">
      <c r="A315" s="227">
        <v>322</v>
      </c>
      <c r="B315" s="228" t="s">
        <v>14</v>
      </c>
      <c r="C315" s="234">
        <f>SUM(C316)</f>
        <v>2961.81</v>
      </c>
      <c r="D315" s="234">
        <f>+D316+D317</f>
        <v>14727.85</v>
      </c>
      <c r="E315" s="234">
        <f>+E316+E317</f>
        <v>14727.85</v>
      </c>
      <c r="F315" s="234">
        <f>+F316+F317</f>
        <v>12082.82</v>
      </c>
      <c r="G315" s="169">
        <f>F315/C315*100</f>
        <v>407.95392006914693</v>
      </c>
      <c r="H315" s="367">
        <f>F315/E315*100</f>
        <v>82.0406237162926</v>
      </c>
      <c r="I315" s="23"/>
      <c r="J315" s="23"/>
      <c r="K315" s="23"/>
      <c r="N315" s="3"/>
    </row>
    <row r="316" spans="1:14" s="13" customFormat="1" ht="15">
      <c r="A316" s="235">
        <v>3222</v>
      </c>
      <c r="B316" s="236" t="s">
        <v>131</v>
      </c>
      <c r="C316" s="237">
        <v>2961.81</v>
      </c>
      <c r="D316" s="238">
        <v>5478.35</v>
      </c>
      <c r="E316" s="238">
        <f>+D316</f>
        <v>5478.35</v>
      </c>
      <c r="F316" s="110">
        <v>2833.32</v>
      </c>
      <c r="G316" s="110">
        <f>F316/C316*100</f>
        <v>95.66177438795872</v>
      </c>
      <c r="H316" s="407">
        <f>F316/E316*100</f>
        <v>51.718491881679704</v>
      </c>
      <c r="I316" s="12"/>
      <c r="J316" s="12"/>
      <c r="K316" s="12"/>
      <c r="N316" s="19"/>
    </row>
    <row r="317" spans="1:14" s="41" customFormat="1" ht="15">
      <c r="A317" s="65">
        <v>3225</v>
      </c>
      <c r="B317" s="62" t="s">
        <v>132</v>
      </c>
      <c r="C317" s="131"/>
      <c r="D317" s="87">
        <v>9249.5</v>
      </c>
      <c r="E317" s="87">
        <f>+D317</f>
        <v>9249.5</v>
      </c>
      <c r="F317" s="63">
        <v>9249.5</v>
      </c>
      <c r="G317" s="194" t="e">
        <f>F317/C317*100</f>
        <v>#DIV/0!</v>
      </c>
      <c r="H317" s="195">
        <f>F317/E317*100</f>
        <v>100</v>
      </c>
      <c r="I317" s="23"/>
      <c r="J317" s="23"/>
      <c r="K317" s="23"/>
      <c r="N317" s="3"/>
    </row>
    <row r="318" spans="1:14" s="13" customFormat="1" ht="15">
      <c r="A318" s="505" t="s">
        <v>6</v>
      </c>
      <c r="B318" s="506"/>
      <c r="C318" s="232">
        <f>+C315</f>
        <v>2961.81</v>
      </c>
      <c r="D318" s="232">
        <f>+D315</f>
        <v>14727.85</v>
      </c>
      <c r="E318" s="232">
        <f>+E315</f>
        <v>14727.85</v>
      </c>
      <c r="F318" s="232">
        <f>+F315</f>
        <v>12082.82</v>
      </c>
      <c r="G318" s="198">
        <f>F318/C318*100</f>
        <v>407.95392006914693</v>
      </c>
      <c r="H318" s="199">
        <f>F318/E318*100</f>
        <v>82.0406237162926</v>
      </c>
      <c r="I318" s="12"/>
      <c r="J318" s="12"/>
      <c r="K318" s="12"/>
      <c r="N318" s="19"/>
    </row>
    <row r="319" spans="1:14" s="13" customFormat="1" ht="15">
      <c r="A319" s="11"/>
      <c r="B319" s="11"/>
      <c r="C319" s="12"/>
      <c r="D319" s="12"/>
      <c r="E319" s="12"/>
      <c r="F319" s="12"/>
      <c r="G319" s="12"/>
      <c r="H319" s="12"/>
      <c r="I319" s="12"/>
      <c r="J319" s="12"/>
      <c r="K319" s="12"/>
      <c r="N319" s="19"/>
    </row>
    <row r="320" spans="1:16" s="36" customFormat="1" ht="15">
      <c r="A320" s="209" t="s">
        <v>195</v>
      </c>
      <c r="B320" s="208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P320" s="81"/>
    </row>
    <row r="321" spans="1:16" s="13" customFormat="1" ht="14.25" customHeight="1">
      <c r="A321" s="468" t="s">
        <v>78</v>
      </c>
      <c r="B321" s="470" t="s">
        <v>3</v>
      </c>
      <c r="C321" s="470" t="s">
        <v>74</v>
      </c>
      <c r="D321" s="465" t="s">
        <v>169</v>
      </c>
      <c r="E321" s="465" t="s">
        <v>170</v>
      </c>
      <c r="F321" s="465" t="s">
        <v>171</v>
      </c>
      <c r="G321" s="465" t="s">
        <v>75</v>
      </c>
      <c r="H321" s="465" t="s">
        <v>75</v>
      </c>
      <c r="I321" s="12"/>
      <c r="J321" s="12"/>
      <c r="K321" s="12"/>
      <c r="L321" s="12"/>
      <c r="M321" s="12"/>
      <c r="P321" s="19"/>
    </row>
    <row r="322" spans="1:16" s="13" customFormat="1" ht="28.5" customHeight="1">
      <c r="A322" s="469"/>
      <c r="B322" s="471"/>
      <c r="C322" s="471"/>
      <c r="D322" s="466"/>
      <c r="E322" s="466"/>
      <c r="F322" s="466"/>
      <c r="G322" s="466"/>
      <c r="H322" s="466"/>
      <c r="I322" s="12"/>
      <c r="J322" s="12"/>
      <c r="K322" s="12"/>
      <c r="L322" s="12"/>
      <c r="M322" s="12"/>
      <c r="P322" s="19"/>
    </row>
    <row r="323" spans="1:16" s="13" customFormat="1" ht="15">
      <c r="A323" s="473">
        <v>1</v>
      </c>
      <c r="B323" s="473"/>
      <c r="C323" s="73">
        <v>2</v>
      </c>
      <c r="D323" s="74">
        <v>3</v>
      </c>
      <c r="E323" s="74">
        <v>4</v>
      </c>
      <c r="F323" s="74">
        <v>5</v>
      </c>
      <c r="G323" s="74" t="s">
        <v>76</v>
      </c>
      <c r="H323" s="74" t="s">
        <v>77</v>
      </c>
      <c r="I323" s="12"/>
      <c r="J323" s="12"/>
      <c r="K323" s="12"/>
      <c r="L323" s="12"/>
      <c r="M323" s="12"/>
      <c r="P323" s="19"/>
    </row>
    <row r="324" spans="1:16" s="13" customFormat="1" ht="15">
      <c r="A324" s="222">
        <v>31</v>
      </c>
      <c r="B324" s="282" t="s">
        <v>7</v>
      </c>
      <c r="C324" s="158">
        <f aca="true" t="shared" si="22" ref="C324:F325">+C325</f>
        <v>0</v>
      </c>
      <c r="D324" s="158">
        <f t="shared" si="22"/>
        <v>1000</v>
      </c>
      <c r="E324" s="158">
        <f t="shared" si="22"/>
        <v>1000</v>
      </c>
      <c r="F324" s="158">
        <f t="shared" si="22"/>
        <v>1000</v>
      </c>
      <c r="G324" s="390" t="e">
        <f aca="true" t="shared" si="23" ref="G324:G335">F324/C324*100</f>
        <v>#DIV/0!</v>
      </c>
      <c r="H324" s="391">
        <f aca="true" t="shared" si="24" ref="H324:H335">F324/E324*100</f>
        <v>100</v>
      </c>
      <c r="I324" s="12"/>
      <c r="J324" s="12"/>
      <c r="K324" s="12"/>
      <c r="L324" s="12"/>
      <c r="M324" s="12"/>
      <c r="P324" s="19"/>
    </row>
    <row r="325" spans="1:16" s="13" customFormat="1" ht="15">
      <c r="A325" s="280">
        <v>312</v>
      </c>
      <c r="B325" s="286" t="s">
        <v>166</v>
      </c>
      <c r="C325" s="281">
        <f t="shared" si="22"/>
        <v>0</v>
      </c>
      <c r="D325" s="223">
        <f t="shared" si="22"/>
        <v>1000</v>
      </c>
      <c r="E325" s="223">
        <f t="shared" si="22"/>
        <v>1000</v>
      </c>
      <c r="F325" s="223">
        <f t="shared" si="22"/>
        <v>1000</v>
      </c>
      <c r="G325" s="163" t="e">
        <f t="shared" si="23"/>
        <v>#DIV/0!</v>
      </c>
      <c r="H325" s="387">
        <f t="shared" si="24"/>
        <v>100</v>
      </c>
      <c r="I325" s="12"/>
      <c r="J325" s="12"/>
      <c r="K325" s="12"/>
      <c r="L325" s="12"/>
      <c r="M325" s="12"/>
      <c r="P325" s="19"/>
    </row>
    <row r="326" spans="1:16" s="13" customFormat="1" ht="15">
      <c r="A326" s="408">
        <v>3121</v>
      </c>
      <c r="B326" s="259" t="s">
        <v>166</v>
      </c>
      <c r="C326" s="410"/>
      <c r="D326" s="276">
        <v>1000</v>
      </c>
      <c r="E326" s="277">
        <f>+D326</f>
        <v>1000</v>
      </c>
      <c r="F326" s="277">
        <v>1000</v>
      </c>
      <c r="G326" s="32" t="e">
        <f t="shared" si="23"/>
        <v>#DIV/0!</v>
      </c>
      <c r="H326" s="342">
        <f t="shared" si="24"/>
        <v>100</v>
      </c>
      <c r="I326" s="12"/>
      <c r="J326" s="12"/>
      <c r="K326" s="12"/>
      <c r="L326" s="12"/>
      <c r="M326" s="12"/>
      <c r="P326" s="19"/>
    </row>
    <row r="327" spans="1:16" s="13" customFormat="1" ht="15">
      <c r="A327" s="409">
        <v>32</v>
      </c>
      <c r="B327" s="181" t="s">
        <v>11</v>
      </c>
      <c r="C327" s="159">
        <f>+C330+C328</f>
        <v>680</v>
      </c>
      <c r="D327" s="159">
        <f>+D330</f>
        <v>7500</v>
      </c>
      <c r="E327" s="159">
        <f>+E330</f>
        <v>7500</v>
      </c>
      <c r="F327" s="159">
        <f>+F330</f>
        <v>7500</v>
      </c>
      <c r="G327" s="159">
        <f t="shared" si="23"/>
        <v>1102.9411764705883</v>
      </c>
      <c r="H327" s="388">
        <f t="shared" si="24"/>
        <v>100</v>
      </c>
      <c r="I327" s="12"/>
      <c r="J327" s="12"/>
      <c r="K327" s="12"/>
      <c r="L327" s="12"/>
      <c r="M327" s="12"/>
      <c r="P327" s="19"/>
    </row>
    <row r="328" spans="1:16" s="13" customFormat="1" ht="15">
      <c r="A328" s="297">
        <v>321</v>
      </c>
      <c r="B328" s="166" t="s">
        <v>12</v>
      </c>
      <c r="C328" s="163">
        <f>+C329</f>
        <v>680</v>
      </c>
      <c r="D328" s="163"/>
      <c r="E328" s="163"/>
      <c r="F328" s="163"/>
      <c r="G328" s="163"/>
      <c r="H328" s="387"/>
      <c r="I328" s="12"/>
      <c r="J328" s="12"/>
      <c r="K328" s="12"/>
      <c r="L328" s="12"/>
      <c r="M328" s="12"/>
      <c r="P328" s="19"/>
    </row>
    <row r="329" spans="1:16" s="13" customFormat="1" ht="15">
      <c r="A329" s="320">
        <v>3211</v>
      </c>
      <c r="B329" s="295" t="s">
        <v>87</v>
      </c>
      <c r="C329" s="319">
        <v>680</v>
      </c>
      <c r="D329" s="319"/>
      <c r="E329" s="319"/>
      <c r="F329" s="319"/>
      <c r="G329" s="32">
        <f>F329/C329*100</f>
        <v>0</v>
      </c>
      <c r="H329" s="342" t="e">
        <f>F329/E329*100</f>
        <v>#DIV/0!</v>
      </c>
      <c r="I329" s="12"/>
      <c r="J329" s="12"/>
      <c r="K329" s="12"/>
      <c r="L329" s="12"/>
      <c r="M329" s="12"/>
      <c r="P329" s="19"/>
    </row>
    <row r="330" spans="1:16" s="13" customFormat="1" ht="15">
      <c r="A330" s="411">
        <v>329</v>
      </c>
      <c r="B330" s="262" t="s">
        <v>18</v>
      </c>
      <c r="C330" s="412">
        <f>+C331</f>
        <v>0</v>
      </c>
      <c r="D330" s="412">
        <f>+D331</f>
        <v>7500</v>
      </c>
      <c r="E330" s="412">
        <f>+E331</f>
        <v>7500</v>
      </c>
      <c r="F330" s="412">
        <f>+F331</f>
        <v>7500</v>
      </c>
      <c r="G330" s="163" t="e">
        <f t="shared" si="23"/>
        <v>#DIV/0!</v>
      </c>
      <c r="H330" s="387">
        <f t="shared" si="24"/>
        <v>100</v>
      </c>
      <c r="I330" s="12"/>
      <c r="J330" s="12"/>
      <c r="K330" s="12"/>
      <c r="L330" s="12"/>
      <c r="M330" s="12"/>
      <c r="P330" s="19"/>
    </row>
    <row r="331" spans="1:16" s="41" customFormat="1" ht="15">
      <c r="A331" s="20">
        <v>3299</v>
      </c>
      <c r="B331" s="21" t="s">
        <v>18</v>
      </c>
      <c r="C331" s="413"/>
      <c r="D331" s="414">
        <v>7500</v>
      </c>
      <c r="E331" s="414">
        <f>+D331</f>
        <v>7500</v>
      </c>
      <c r="F331" s="414">
        <v>7500</v>
      </c>
      <c r="G331" s="32" t="e">
        <f t="shared" si="23"/>
        <v>#DIV/0!</v>
      </c>
      <c r="H331" s="342">
        <f t="shared" si="24"/>
        <v>100</v>
      </c>
      <c r="I331" s="23"/>
      <c r="J331" s="23"/>
      <c r="K331" s="23"/>
      <c r="L331" s="23"/>
      <c r="M331" s="23"/>
      <c r="P331" s="3"/>
    </row>
    <row r="332" spans="1:16" s="41" customFormat="1" ht="30">
      <c r="A332" s="415">
        <v>42</v>
      </c>
      <c r="B332" s="294" t="s">
        <v>22</v>
      </c>
      <c r="C332" s="416">
        <f>+C333</f>
        <v>3396</v>
      </c>
      <c r="D332" s="417"/>
      <c r="E332" s="417"/>
      <c r="F332" s="417"/>
      <c r="G332" s="159">
        <f>F332/C332*100</f>
        <v>0</v>
      </c>
      <c r="H332" s="388" t="e">
        <f>F332/E332*100</f>
        <v>#DIV/0!</v>
      </c>
      <c r="I332" s="23"/>
      <c r="J332" s="23"/>
      <c r="K332" s="23"/>
      <c r="L332" s="23"/>
      <c r="M332" s="23"/>
      <c r="P332" s="3"/>
    </row>
    <row r="333" spans="1:16" s="41" customFormat="1" ht="15">
      <c r="A333" s="382">
        <v>422</v>
      </c>
      <c r="B333" s="289" t="s">
        <v>21</v>
      </c>
      <c r="C333" s="418">
        <f>+C334</f>
        <v>3396</v>
      </c>
      <c r="D333" s="346"/>
      <c r="E333" s="346"/>
      <c r="F333" s="346"/>
      <c r="G333" s="163">
        <f>F333/C333*100</f>
        <v>0</v>
      </c>
      <c r="H333" s="387" t="e">
        <f>F333/E333*100</f>
        <v>#DIV/0!</v>
      </c>
      <c r="I333" s="23"/>
      <c r="J333" s="23"/>
      <c r="K333" s="23"/>
      <c r="L333" s="23"/>
      <c r="M333" s="23"/>
      <c r="P333" s="3"/>
    </row>
    <row r="334" spans="1:16" s="41" customFormat="1" ht="15">
      <c r="A334" s="154">
        <v>4221</v>
      </c>
      <c r="B334" s="318" t="s">
        <v>111</v>
      </c>
      <c r="C334" s="321">
        <v>3396</v>
      </c>
      <c r="D334" s="24"/>
      <c r="E334" s="24"/>
      <c r="F334" s="24"/>
      <c r="G334" s="194">
        <f>F334/C334*100</f>
        <v>0</v>
      </c>
      <c r="H334" s="195" t="e">
        <f>F334/E334*100</f>
        <v>#DIV/0!</v>
      </c>
      <c r="I334" s="23"/>
      <c r="J334" s="23"/>
      <c r="K334" s="23"/>
      <c r="L334" s="23"/>
      <c r="M334" s="23"/>
      <c r="P334" s="3"/>
    </row>
    <row r="335" spans="1:16" s="13" customFormat="1" ht="15">
      <c r="A335" s="503" t="s">
        <v>6</v>
      </c>
      <c r="B335" s="504"/>
      <c r="C335" s="185">
        <f>+C324+C327+C332</f>
        <v>4076</v>
      </c>
      <c r="D335" s="185">
        <f>+D326+D331</f>
        <v>8500</v>
      </c>
      <c r="E335" s="185">
        <f>+E326+E331</f>
        <v>8500</v>
      </c>
      <c r="F335" s="185">
        <f>+F326+F331</f>
        <v>8500</v>
      </c>
      <c r="G335" s="198">
        <f t="shared" si="23"/>
        <v>208.53778213935232</v>
      </c>
      <c r="H335" s="199">
        <f t="shared" si="24"/>
        <v>100</v>
      </c>
      <c r="I335" s="12"/>
      <c r="J335" s="12"/>
      <c r="K335" s="12"/>
      <c r="L335" s="12"/>
      <c r="M335" s="12"/>
      <c r="P335" s="19"/>
    </row>
    <row r="336" spans="1:14" s="13" customFormat="1" ht="12" customHeight="1">
      <c r="A336" s="11"/>
      <c r="B336" s="11"/>
      <c r="C336" s="12"/>
      <c r="D336" s="12"/>
      <c r="E336" s="12"/>
      <c r="F336" s="12"/>
      <c r="G336" s="12"/>
      <c r="H336" s="12"/>
      <c r="I336" s="12"/>
      <c r="J336" s="12"/>
      <c r="K336" s="12"/>
      <c r="N336" s="19"/>
    </row>
    <row r="337" spans="1:16" s="36" customFormat="1" ht="15">
      <c r="A337" s="209" t="s">
        <v>196</v>
      </c>
      <c r="B337" s="208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P337" s="81"/>
    </row>
    <row r="338" spans="1:16" s="13" customFormat="1" ht="14.25" customHeight="1">
      <c r="A338" s="468" t="s">
        <v>78</v>
      </c>
      <c r="B338" s="470" t="s">
        <v>3</v>
      </c>
      <c r="C338" s="470" t="s">
        <v>74</v>
      </c>
      <c r="D338" s="465" t="s">
        <v>169</v>
      </c>
      <c r="E338" s="465" t="s">
        <v>170</v>
      </c>
      <c r="F338" s="465" t="s">
        <v>171</v>
      </c>
      <c r="G338" s="465" t="s">
        <v>75</v>
      </c>
      <c r="H338" s="465" t="s">
        <v>75</v>
      </c>
      <c r="I338" s="12"/>
      <c r="J338" s="12"/>
      <c r="K338" s="12"/>
      <c r="L338" s="12"/>
      <c r="M338" s="12"/>
      <c r="P338" s="19"/>
    </row>
    <row r="339" spans="1:16" s="13" customFormat="1" ht="28.5" customHeight="1">
      <c r="A339" s="469"/>
      <c r="B339" s="471"/>
      <c r="C339" s="471"/>
      <c r="D339" s="466"/>
      <c r="E339" s="466"/>
      <c r="F339" s="466"/>
      <c r="G339" s="466"/>
      <c r="H339" s="466"/>
      <c r="I339" s="12"/>
      <c r="J339" s="12"/>
      <c r="K339" s="12"/>
      <c r="L339" s="12"/>
      <c r="M339" s="12"/>
      <c r="P339" s="19"/>
    </row>
    <row r="340" spans="1:16" s="13" customFormat="1" ht="15">
      <c r="A340" s="473">
        <v>1</v>
      </c>
      <c r="B340" s="473"/>
      <c r="C340" s="73">
        <v>2</v>
      </c>
      <c r="D340" s="74">
        <v>3</v>
      </c>
      <c r="E340" s="74">
        <v>4</v>
      </c>
      <c r="F340" s="74">
        <v>5</v>
      </c>
      <c r="G340" s="74" t="s">
        <v>76</v>
      </c>
      <c r="H340" s="74" t="s">
        <v>77</v>
      </c>
      <c r="I340" s="12"/>
      <c r="J340" s="12"/>
      <c r="K340" s="12"/>
      <c r="L340" s="12"/>
      <c r="M340" s="12"/>
      <c r="P340" s="19"/>
    </row>
    <row r="341" spans="1:16" s="13" customFormat="1" ht="15">
      <c r="A341" s="222">
        <v>32</v>
      </c>
      <c r="B341" s="284" t="s">
        <v>11</v>
      </c>
      <c r="C341" s="158">
        <f>+C342</f>
        <v>0</v>
      </c>
      <c r="D341" s="158">
        <f aca="true" t="shared" si="25" ref="D341:F342">+D342</f>
        <v>170</v>
      </c>
      <c r="E341" s="158">
        <f t="shared" si="25"/>
        <v>170</v>
      </c>
      <c r="F341" s="158">
        <f t="shared" si="25"/>
        <v>170</v>
      </c>
      <c r="G341" s="390" t="e">
        <f>F341/C341*100</f>
        <v>#DIV/0!</v>
      </c>
      <c r="H341" s="391">
        <f>F341/E341*100</f>
        <v>100</v>
      </c>
      <c r="I341" s="12"/>
      <c r="J341" s="12"/>
      <c r="K341" s="12"/>
      <c r="L341" s="12"/>
      <c r="M341" s="12"/>
      <c r="P341" s="19"/>
    </row>
    <row r="342" spans="1:16" s="13" customFormat="1" ht="15">
      <c r="A342" s="280">
        <v>321</v>
      </c>
      <c r="B342" s="286" t="s">
        <v>12</v>
      </c>
      <c r="C342" s="281">
        <f>+C343</f>
        <v>0</v>
      </c>
      <c r="D342" s="223">
        <f t="shared" si="25"/>
        <v>170</v>
      </c>
      <c r="E342" s="223">
        <f t="shared" si="25"/>
        <v>170</v>
      </c>
      <c r="F342" s="223">
        <f t="shared" si="25"/>
        <v>170</v>
      </c>
      <c r="G342" s="163" t="e">
        <f>F342/C342*100</f>
        <v>#DIV/0!</v>
      </c>
      <c r="H342" s="387">
        <f>F342/E342*100</f>
        <v>100</v>
      </c>
      <c r="I342" s="12"/>
      <c r="J342" s="12"/>
      <c r="K342" s="12"/>
      <c r="L342" s="12"/>
      <c r="M342" s="12"/>
      <c r="P342" s="19"/>
    </row>
    <row r="343" spans="1:16" s="13" customFormat="1" ht="15">
      <c r="A343" s="274">
        <v>3211</v>
      </c>
      <c r="B343" s="283" t="s">
        <v>87</v>
      </c>
      <c r="C343" s="273"/>
      <c r="D343" s="276">
        <v>170</v>
      </c>
      <c r="E343" s="277">
        <f>+D343</f>
        <v>170</v>
      </c>
      <c r="F343" s="277">
        <v>170</v>
      </c>
      <c r="G343" s="194" t="e">
        <f>F343/C343*100</f>
        <v>#DIV/0!</v>
      </c>
      <c r="H343" s="195">
        <f>F343/E343*100</f>
        <v>100</v>
      </c>
      <c r="I343" s="12"/>
      <c r="J343" s="12"/>
      <c r="K343" s="12"/>
      <c r="L343" s="12"/>
      <c r="M343" s="12"/>
      <c r="P343" s="19"/>
    </row>
    <row r="344" spans="1:16" s="13" customFormat="1" ht="15">
      <c r="A344" s="503" t="s">
        <v>6</v>
      </c>
      <c r="B344" s="504"/>
      <c r="C344" s="185">
        <f>+C342</f>
        <v>0</v>
      </c>
      <c r="D344" s="185">
        <f>+D342</f>
        <v>170</v>
      </c>
      <c r="E344" s="185">
        <f>+E342</f>
        <v>170</v>
      </c>
      <c r="F344" s="185">
        <f>+F342</f>
        <v>170</v>
      </c>
      <c r="G344" s="198" t="e">
        <f>F344/C344*100</f>
        <v>#DIV/0!</v>
      </c>
      <c r="H344" s="199">
        <f>F344/E344*100</f>
        <v>100</v>
      </c>
      <c r="I344" s="12"/>
      <c r="J344" s="12"/>
      <c r="K344" s="12"/>
      <c r="L344" s="12"/>
      <c r="M344" s="12"/>
      <c r="P344" s="19"/>
    </row>
    <row r="345" spans="1:14" s="13" customFormat="1" ht="15">
      <c r="A345" s="11"/>
      <c r="B345" s="11"/>
      <c r="C345" s="12"/>
      <c r="D345" s="12"/>
      <c r="E345" s="12"/>
      <c r="F345" s="12"/>
      <c r="G345" s="12"/>
      <c r="H345" s="12"/>
      <c r="I345" s="12"/>
      <c r="J345" s="12"/>
      <c r="K345" s="12"/>
      <c r="N345" s="19"/>
    </row>
    <row r="346" spans="1:14" s="13" customFormat="1" ht="15">
      <c r="A346" s="11"/>
      <c r="B346" s="11"/>
      <c r="C346" s="12"/>
      <c r="D346" s="12"/>
      <c r="E346" s="12"/>
      <c r="F346" s="12"/>
      <c r="G346" s="12"/>
      <c r="H346" s="12"/>
      <c r="I346" s="12"/>
      <c r="J346" s="12"/>
      <c r="K346" s="12"/>
      <c r="N346" s="19"/>
    </row>
    <row r="347" spans="1:11" s="33" customFormat="1" ht="26.25" customHeight="1">
      <c r="A347" s="507" t="s">
        <v>174</v>
      </c>
      <c r="B347" s="507"/>
      <c r="C347" s="507"/>
      <c r="D347" s="86"/>
      <c r="E347" s="12"/>
      <c r="F347" s="12"/>
      <c r="G347" s="12"/>
      <c r="H347" s="12"/>
      <c r="I347" s="12"/>
      <c r="J347" s="12"/>
      <c r="K347" s="12"/>
    </row>
    <row r="348" spans="1:15" ht="19.5" customHeight="1">
      <c r="A348" s="209" t="s">
        <v>82</v>
      </c>
      <c r="B348" s="210"/>
      <c r="C348" s="37"/>
      <c r="D348" s="37"/>
      <c r="E348" s="37"/>
      <c r="F348" s="37"/>
      <c r="G348" s="37"/>
      <c r="H348" s="37"/>
      <c r="I348" s="39"/>
      <c r="J348" s="39"/>
      <c r="K348" s="39"/>
      <c r="L348" s="39"/>
      <c r="M348" s="39"/>
      <c r="N348" s="33"/>
      <c r="O348" s="33"/>
    </row>
    <row r="349" spans="1:15" ht="19.5" customHeight="1">
      <c r="A349" s="468" t="s">
        <v>78</v>
      </c>
      <c r="B349" s="470" t="s">
        <v>3</v>
      </c>
      <c r="C349" s="470" t="s">
        <v>74</v>
      </c>
      <c r="D349" s="465" t="s">
        <v>169</v>
      </c>
      <c r="E349" s="465" t="s">
        <v>170</v>
      </c>
      <c r="F349" s="465" t="s">
        <v>171</v>
      </c>
      <c r="G349" s="465" t="s">
        <v>75</v>
      </c>
      <c r="H349" s="465" t="s">
        <v>75</v>
      </c>
      <c r="I349" s="39"/>
      <c r="J349" s="39"/>
      <c r="K349" s="39"/>
      <c r="L349" s="39"/>
      <c r="M349" s="39"/>
      <c r="N349" s="33"/>
      <c r="O349" s="33"/>
    </row>
    <row r="350" spans="1:15" ht="27.75" customHeight="1">
      <c r="A350" s="469"/>
      <c r="B350" s="471"/>
      <c r="C350" s="471"/>
      <c r="D350" s="466"/>
      <c r="E350" s="466"/>
      <c r="F350" s="466"/>
      <c r="G350" s="466"/>
      <c r="H350" s="466"/>
      <c r="I350" s="39"/>
      <c r="J350" s="39"/>
      <c r="K350" s="39"/>
      <c r="L350" s="39"/>
      <c r="M350" s="39"/>
      <c r="N350" s="33"/>
      <c r="O350" s="33"/>
    </row>
    <row r="351" spans="1:15" ht="15">
      <c r="A351" s="473">
        <v>1</v>
      </c>
      <c r="B351" s="473"/>
      <c r="C351" s="73">
        <v>2</v>
      </c>
      <c r="D351" s="74">
        <v>3</v>
      </c>
      <c r="E351" s="74">
        <v>4</v>
      </c>
      <c r="F351" s="74">
        <v>5</v>
      </c>
      <c r="G351" s="74" t="s">
        <v>76</v>
      </c>
      <c r="H351" s="74" t="s">
        <v>77</v>
      </c>
      <c r="I351" s="39"/>
      <c r="J351" s="39"/>
      <c r="K351" s="39"/>
      <c r="L351" s="39"/>
      <c r="M351" s="39"/>
      <c r="N351" s="33"/>
      <c r="O351" s="33"/>
    </row>
    <row r="352" spans="1:15" ht="28.5" customHeight="1">
      <c r="A352" s="222">
        <v>42</v>
      </c>
      <c r="B352" s="284" t="s">
        <v>22</v>
      </c>
      <c r="C352" s="218">
        <f>SUM(C353)</f>
        <v>0</v>
      </c>
      <c r="D352" s="218">
        <f aca="true" t="shared" si="26" ref="D352:F353">SUM(D353)</f>
        <v>300</v>
      </c>
      <c r="E352" s="218">
        <f t="shared" si="26"/>
        <v>300</v>
      </c>
      <c r="F352" s="218">
        <f t="shared" si="26"/>
        <v>0</v>
      </c>
      <c r="G352" s="390" t="e">
        <f>F352/C352*100</f>
        <v>#DIV/0!</v>
      </c>
      <c r="H352" s="391">
        <f>F352/E352*100</f>
        <v>0</v>
      </c>
      <c r="I352" s="39"/>
      <c r="J352" s="39"/>
      <c r="K352" s="39"/>
      <c r="L352" s="39"/>
      <c r="M352" s="39"/>
      <c r="N352" s="33"/>
      <c r="O352" s="33"/>
    </row>
    <row r="353" spans="1:15" s="19" customFormat="1" ht="30">
      <c r="A353" s="280">
        <v>424</v>
      </c>
      <c r="B353" s="289" t="s">
        <v>197</v>
      </c>
      <c r="C353" s="287">
        <f>SUM(C354)</f>
        <v>0</v>
      </c>
      <c r="D353" s="220">
        <f t="shared" si="26"/>
        <v>300</v>
      </c>
      <c r="E353" s="220">
        <f t="shared" si="26"/>
        <v>300</v>
      </c>
      <c r="F353" s="220">
        <f t="shared" si="26"/>
        <v>0</v>
      </c>
      <c r="G353" s="163" t="e">
        <f>F353/C353*100</f>
        <v>#DIV/0!</v>
      </c>
      <c r="H353" s="387">
        <f>F353/E353*100</f>
        <v>0</v>
      </c>
      <c r="I353" s="499"/>
      <c r="J353" s="499"/>
      <c r="K353" s="499"/>
      <c r="L353" s="491"/>
      <c r="M353" s="491"/>
      <c r="N353" s="33"/>
      <c r="O353" s="33"/>
    </row>
    <row r="354" spans="1:15" ht="15">
      <c r="A354" s="134">
        <v>4241</v>
      </c>
      <c r="B354" s="288" t="s">
        <v>139</v>
      </c>
      <c r="C354" s="133"/>
      <c r="D354" s="63">
        <v>300</v>
      </c>
      <c r="E354" s="63">
        <f>+D354</f>
        <v>300</v>
      </c>
      <c r="F354" s="63"/>
      <c r="G354" s="194" t="e">
        <f>F354/C354*100</f>
        <v>#DIV/0!</v>
      </c>
      <c r="H354" s="195">
        <f>F354/E354*100</f>
        <v>0</v>
      </c>
      <c r="I354" s="499"/>
      <c r="J354" s="499"/>
      <c r="K354" s="499"/>
      <c r="L354" s="491"/>
      <c r="M354" s="491"/>
      <c r="N354" s="33"/>
      <c r="O354" s="33"/>
    </row>
    <row r="355" spans="1:15" ht="19.5" customHeight="1">
      <c r="A355" s="476" t="s">
        <v>6</v>
      </c>
      <c r="B355" s="476"/>
      <c r="C355" s="239">
        <f>C352</f>
        <v>0</v>
      </c>
      <c r="D355" s="239">
        <f>D352</f>
        <v>300</v>
      </c>
      <c r="E355" s="239">
        <f>E352</f>
        <v>300</v>
      </c>
      <c r="F355" s="239">
        <f>F352</f>
        <v>0</v>
      </c>
      <c r="G355" s="198" t="e">
        <f>F355/C355*100</f>
        <v>#DIV/0!</v>
      </c>
      <c r="H355" s="199">
        <f>F355/E355*100</f>
        <v>0</v>
      </c>
      <c r="I355" s="499"/>
      <c r="J355" s="499"/>
      <c r="K355" s="499"/>
      <c r="L355" s="491"/>
      <c r="M355" s="491"/>
      <c r="N355" s="33"/>
      <c r="O355" s="33"/>
    </row>
    <row r="356" spans="1:15" ht="15">
      <c r="A356" s="35"/>
      <c r="B356" s="35"/>
      <c r="C356" s="35"/>
      <c r="D356" s="34"/>
      <c r="E356" s="34"/>
      <c r="F356" s="34"/>
      <c r="G356" s="34"/>
      <c r="H356" s="39"/>
      <c r="I356" s="17"/>
      <c r="J356" s="17"/>
      <c r="K356" s="17"/>
      <c r="L356" s="17"/>
      <c r="M356" s="17"/>
      <c r="N356" s="33"/>
      <c r="O356" s="33"/>
    </row>
    <row r="357" spans="1:15" s="85" customFormat="1" ht="15">
      <c r="A357" s="207" t="s">
        <v>79</v>
      </c>
      <c r="B357" s="211"/>
      <c r="C357" s="35"/>
      <c r="D357" s="34"/>
      <c r="E357" s="34"/>
      <c r="F357" s="34"/>
      <c r="G357" s="34"/>
      <c r="H357" s="39"/>
      <c r="I357" s="69"/>
      <c r="J357" s="69"/>
      <c r="K357" s="69"/>
      <c r="L357" s="70"/>
      <c r="M357" s="70"/>
      <c r="N357" s="34"/>
      <c r="O357" s="34"/>
    </row>
    <row r="358" spans="1:15" ht="14.25" customHeight="1">
      <c r="A358" s="468" t="s">
        <v>78</v>
      </c>
      <c r="B358" s="470" t="s">
        <v>3</v>
      </c>
      <c r="C358" s="470" t="s">
        <v>74</v>
      </c>
      <c r="D358" s="465" t="s">
        <v>169</v>
      </c>
      <c r="E358" s="465" t="s">
        <v>170</v>
      </c>
      <c r="F358" s="465" t="s">
        <v>171</v>
      </c>
      <c r="G358" s="465" t="s">
        <v>75</v>
      </c>
      <c r="H358" s="465" t="s">
        <v>75</v>
      </c>
      <c r="I358" s="17"/>
      <c r="J358" s="17"/>
      <c r="K358" s="17"/>
      <c r="L358" s="17"/>
      <c r="M358" s="17"/>
      <c r="N358" s="33"/>
      <c r="O358" s="33"/>
    </row>
    <row r="359" spans="1:15" ht="29.25" customHeight="1">
      <c r="A359" s="469"/>
      <c r="B359" s="471"/>
      <c r="C359" s="471"/>
      <c r="D359" s="466"/>
      <c r="E359" s="466"/>
      <c r="F359" s="466"/>
      <c r="G359" s="466"/>
      <c r="H359" s="466"/>
      <c r="I359" s="24"/>
      <c r="J359" s="24"/>
      <c r="K359" s="24"/>
      <c r="L359" s="38"/>
      <c r="M359" s="38"/>
      <c r="N359" s="33"/>
      <c r="O359" s="33"/>
    </row>
    <row r="360" spans="1:15" ht="15">
      <c r="A360" s="473">
        <v>1</v>
      </c>
      <c r="B360" s="473"/>
      <c r="C360" s="73">
        <v>2</v>
      </c>
      <c r="D360" s="74">
        <v>3</v>
      </c>
      <c r="E360" s="74">
        <v>4</v>
      </c>
      <c r="F360" s="74">
        <v>5</v>
      </c>
      <c r="G360" s="74" t="s">
        <v>76</v>
      </c>
      <c r="H360" s="74" t="s">
        <v>77</v>
      </c>
      <c r="I360" s="24"/>
      <c r="J360" s="24"/>
      <c r="K360" s="24"/>
      <c r="L360" s="38"/>
      <c r="M360" s="38"/>
      <c r="N360" s="33"/>
      <c r="O360" s="33"/>
    </row>
    <row r="361" spans="1:15" ht="27.75" customHeight="1">
      <c r="A361" s="222">
        <v>42</v>
      </c>
      <c r="B361" s="179" t="s">
        <v>22</v>
      </c>
      <c r="C361" s="240">
        <f>SUM(C362)</f>
        <v>55335.18</v>
      </c>
      <c r="D361" s="240">
        <f>SUM(D362)</f>
        <v>37250</v>
      </c>
      <c r="E361" s="240">
        <f>SUM(E362)</f>
        <v>37250</v>
      </c>
      <c r="F361" s="240">
        <f>SUM(F362)</f>
        <v>11883.94</v>
      </c>
      <c r="G361" s="390">
        <f aca="true" t="shared" si="27" ref="G361:G366">F361/C361*100</f>
        <v>21.476283261389952</v>
      </c>
      <c r="H361" s="391">
        <f aca="true" t="shared" si="28" ref="H361:H366">F361/E361*100</f>
        <v>31.903194630872484</v>
      </c>
      <c r="I361" s="39"/>
      <c r="J361" s="39"/>
      <c r="K361" s="39"/>
      <c r="L361" s="39"/>
      <c r="M361" s="39"/>
      <c r="N361" s="33"/>
      <c r="O361" s="33"/>
    </row>
    <row r="362" spans="1:15" s="19" customFormat="1" ht="19.5" customHeight="1">
      <c r="A362" s="205">
        <v>422</v>
      </c>
      <c r="B362" s="166" t="s">
        <v>21</v>
      </c>
      <c r="C362" s="206">
        <f>SUM(C363:C365)</f>
        <v>55335.18</v>
      </c>
      <c r="D362" s="206">
        <f>SUM(D363:D365)</f>
        <v>37250</v>
      </c>
      <c r="E362" s="206">
        <f>SUM(E363:E365)</f>
        <v>37250</v>
      </c>
      <c r="F362" s="206">
        <f>SUM(F363:F365)</f>
        <v>11883.94</v>
      </c>
      <c r="G362" s="419">
        <f t="shared" si="27"/>
        <v>21.476283261389952</v>
      </c>
      <c r="H362" s="420">
        <f t="shared" si="28"/>
        <v>31.903194630872484</v>
      </c>
      <c r="I362" s="39"/>
      <c r="J362" s="39"/>
      <c r="K362" s="39"/>
      <c r="L362" s="39"/>
      <c r="M362" s="39"/>
      <c r="N362" s="33"/>
      <c r="O362" s="33"/>
    </row>
    <row r="363" spans="1:15" s="19" customFormat="1" ht="15.75" customHeight="1">
      <c r="A363" s="134">
        <v>4221</v>
      </c>
      <c r="B363" s="132" t="s">
        <v>111</v>
      </c>
      <c r="C363" s="291">
        <v>23151.43</v>
      </c>
      <c r="D363" s="291">
        <v>15000</v>
      </c>
      <c r="E363" s="291">
        <f>+D363</f>
        <v>15000</v>
      </c>
      <c r="F363" s="291">
        <v>1025.86</v>
      </c>
      <c r="G363" s="32">
        <f t="shared" si="27"/>
        <v>4.431086978212576</v>
      </c>
      <c r="H363" s="342">
        <f t="shared" si="28"/>
        <v>6.839066666666666</v>
      </c>
      <c r="I363" s="39"/>
      <c r="J363" s="39"/>
      <c r="K363" s="39"/>
      <c r="L363" s="39"/>
      <c r="M363" s="39"/>
      <c r="N363" s="33"/>
      <c r="O363" s="33"/>
    </row>
    <row r="364" spans="1:15" s="19" customFormat="1" ht="15" customHeight="1">
      <c r="A364" s="134">
        <v>4224</v>
      </c>
      <c r="B364" s="132" t="s">
        <v>198</v>
      </c>
      <c r="C364" s="291">
        <v>32183.75</v>
      </c>
      <c r="D364" s="291">
        <v>10000</v>
      </c>
      <c r="E364" s="291">
        <f>+D364</f>
        <v>10000</v>
      </c>
      <c r="F364" s="290"/>
      <c r="G364" s="61">
        <f t="shared" si="27"/>
        <v>0</v>
      </c>
      <c r="H364" s="64">
        <f t="shared" si="28"/>
        <v>0</v>
      </c>
      <c r="I364" s="39"/>
      <c r="J364" s="39"/>
      <c r="K364" s="39"/>
      <c r="L364" s="39"/>
      <c r="M364" s="39"/>
      <c r="N364" s="33"/>
      <c r="O364" s="33"/>
    </row>
    <row r="365" spans="1:15" ht="15" customHeight="1">
      <c r="A365" s="134">
        <v>4227</v>
      </c>
      <c r="B365" s="132" t="s">
        <v>199</v>
      </c>
      <c r="C365" s="135"/>
      <c r="D365" s="87">
        <v>12250</v>
      </c>
      <c r="E365" s="87">
        <f>+D365</f>
        <v>12250</v>
      </c>
      <c r="F365" s="87">
        <v>10858.08</v>
      </c>
      <c r="G365" s="194" t="e">
        <f t="shared" si="27"/>
        <v>#DIV/0!</v>
      </c>
      <c r="H365" s="195">
        <f t="shared" si="28"/>
        <v>88.63738775510204</v>
      </c>
      <c r="I365" s="34"/>
      <c r="J365" s="34"/>
      <c r="K365" s="34"/>
      <c r="L365" s="34"/>
      <c r="M365" s="34"/>
      <c r="N365" s="33"/>
      <c r="O365" s="33"/>
    </row>
    <row r="366" spans="1:15" s="50" customFormat="1" ht="19.5">
      <c r="A366" s="476" t="s">
        <v>6</v>
      </c>
      <c r="B366" s="476"/>
      <c r="C366" s="241">
        <f>C361</f>
        <v>55335.18</v>
      </c>
      <c r="D366" s="241">
        <f>D361</f>
        <v>37250</v>
      </c>
      <c r="E366" s="241">
        <f>E361</f>
        <v>37250</v>
      </c>
      <c r="F366" s="241">
        <f>F361</f>
        <v>11883.94</v>
      </c>
      <c r="G366" s="198">
        <f t="shared" si="27"/>
        <v>21.476283261389952</v>
      </c>
      <c r="H366" s="199">
        <f t="shared" si="28"/>
        <v>31.903194630872484</v>
      </c>
      <c r="I366" s="46"/>
      <c r="J366" s="46"/>
      <c r="K366" s="47"/>
      <c r="L366" s="46"/>
      <c r="M366" s="46"/>
      <c r="N366" s="48" t="e">
        <f>SUM(#REF!,#REF!,#REF!,#REF!,#REF!,#REF!,#REF!)</f>
        <v>#REF!</v>
      </c>
      <c r="O366" s="49" t="e">
        <f>SUM(#REF!,#REF!,#REF!,#REF!,#REF!,#REF!,#REF!)</f>
        <v>#REF!</v>
      </c>
    </row>
    <row r="367" spans="1:15" s="50" customFormat="1" ht="19.5">
      <c r="A367" s="35"/>
      <c r="B367" s="35"/>
      <c r="C367" s="35"/>
      <c r="D367" s="34"/>
      <c r="E367" s="34"/>
      <c r="F367" s="34"/>
      <c r="G367" s="34"/>
      <c r="H367" s="39"/>
      <c r="I367" s="46"/>
      <c r="J367" s="46"/>
      <c r="K367" s="47"/>
      <c r="L367" s="46"/>
      <c r="M367" s="46"/>
      <c r="N367" s="46"/>
      <c r="O367" s="46"/>
    </row>
    <row r="368" spans="1:8" s="85" customFormat="1" ht="15">
      <c r="A368" s="209" t="s">
        <v>81</v>
      </c>
      <c r="B368" s="211"/>
      <c r="C368" s="35"/>
      <c r="D368" s="34"/>
      <c r="E368" s="34"/>
      <c r="F368" s="34"/>
      <c r="G368" s="34"/>
      <c r="H368" s="39"/>
    </row>
    <row r="369" spans="1:8" ht="13.5" customHeight="1">
      <c r="A369" s="468" t="s">
        <v>78</v>
      </c>
      <c r="B369" s="470" t="s">
        <v>3</v>
      </c>
      <c r="C369" s="470" t="s">
        <v>74</v>
      </c>
      <c r="D369" s="465" t="s">
        <v>169</v>
      </c>
      <c r="E369" s="465" t="s">
        <v>170</v>
      </c>
      <c r="F369" s="465" t="s">
        <v>171</v>
      </c>
      <c r="G369" s="465" t="s">
        <v>75</v>
      </c>
      <c r="H369" s="465" t="s">
        <v>75</v>
      </c>
    </row>
    <row r="370" spans="1:8" ht="30" customHeight="1">
      <c r="A370" s="469"/>
      <c r="B370" s="471"/>
      <c r="C370" s="471"/>
      <c r="D370" s="466"/>
      <c r="E370" s="466"/>
      <c r="F370" s="466"/>
      <c r="G370" s="466"/>
      <c r="H370" s="466"/>
    </row>
    <row r="371" spans="1:8" ht="15">
      <c r="A371" s="473">
        <v>1</v>
      </c>
      <c r="B371" s="473"/>
      <c r="C371" s="73">
        <v>2</v>
      </c>
      <c r="D371" s="74">
        <v>3</v>
      </c>
      <c r="E371" s="74">
        <v>4</v>
      </c>
      <c r="F371" s="74">
        <v>5</v>
      </c>
      <c r="G371" s="74" t="s">
        <v>76</v>
      </c>
      <c r="H371" s="74" t="s">
        <v>77</v>
      </c>
    </row>
    <row r="372" spans="1:8" ht="25.5" customHeight="1">
      <c r="A372" s="222">
        <v>42</v>
      </c>
      <c r="B372" s="179" t="s">
        <v>22</v>
      </c>
      <c r="C372" s="158">
        <f>SUM(C373)</f>
        <v>0</v>
      </c>
      <c r="D372" s="158">
        <f aca="true" t="shared" si="29" ref="D372:F373">SUM(D373)</f>
        <v>14874.09</v>
      </c>
      <c r="E372" s="158">
        <f t="shared" si="29"/>
        <v>14874.09</v>
      </c>
      <c r="F372" s="158">
        <f t="shared" si="29"/>
        <v>14874.09</v>
      </c>
      <c r="G372" s="390" t="e">
        <f>F372/C372*100</f>
        <v>#DIV/0!</v>
      </c>
      <c r="H372" s="391">
        <f>F372/E372*100</f>
        <v>100</v>
      </c>
    </row>
    <row r="373" spans="1:8" s="19" customFormat="1" ht="15">
      <c r="A373" s="205">
        <v>422</v>
      </c>
      <c r="B373" s="166" t="s">
        <v>21</v>
      </c>
      <c r="C373" s="223">
        <f>SUM(C374)</f>
        <v>0</v>
      </c>
      <c r="D373" s="220">
        <f t="shared" si="29"/>
        <v>14874.09</v>
      </c>
      <c r="E373" s="220">
        <f t="shared" si="29"/>
        <v>14874.09</v>
      </c>
      <c r="F373" s="220">
        <f t="shared" si="29"/>
        <v>14874.09</v>
      </c>
      <c r="G373" s="163" t="e">
        <f>F373/C373*100</f>
        <v>#DIV/0!</v>
      </c>
      <c r="H373" s="387">
        <f>F373/E373*100</f>
        <v>100</v>
      </c>
    </row>
    <row r="374" spans="1:8" ht="15">
      <c r="A374" s="134">
        <v>4221</v>
      </c>
      <c r="B374" s="132" t="s">
        <v>111</v>
      </c>
      <c r="C374" s="140"/>
      <c r="D374" s="63">
        <v>14874.09</v>
      </c>
      <c r="E374" s="63">
        <f>+D374</f>
        <v>14874.09</v>
      </c>
      <c r="F374" s="63">
        <v>14874.09</v>
      </c>
      <c r="G374" s="194" t="e">
        <f>F374/C374*100</f>
        <v>#DIV/0!</v>
      </c>
      <c r="H374" s="195">
        <f>F374/E374*100</f>
        <v>100</v>
      </c>
    </row>
    <row r="375" spans="1:8" ht="15">
      <c r="A375" s="476" t="s">
        <v>6</v>
      </c>
      <c r="B375" s="476"/>
      <c r="C375" s="241">
        <f>C372</f>
        <v>0</v>
      </c>
      <c r="D375" s="241">
        <f>D372</f>
        <v>14874.09</v>
      </c>
      <c r="E375" s="241">
        <f>E372</f>
        <v>14874.09</v>
      </c>
      <c r="F375" s="241">
        <f>F372</f>
        <v>14874.09</v>
      </c>
      <c r="G375" s="198" t="e">
        <f>F375/C375*100</f>
        <v>#DIV/0!</v>
      </c>
      <c r="H375" s="199">
        <f>F375/E375*100</f>
        <v>100</v>
      </c>
    </row>
    <row r="376" spans="1:8" ht="18.75" customHeight="1">
      <c r="A376" s="35"/>
      <c r="B376" s="35"/>
      <c r="C376" s="35"/>
      <c r="D376" s="34"/>
      <c r="E376" s="34"/>
      <c r="F376" s="34"/>
      <c r="G376" s="454"/>
      <c r="H376" s="455"/>
    </row>
    <row r="377" spans="1:14" s="13" customFormat="1" ht="15">
      <c r="A377" s="207" t="s">
        <v>33</v>
      </c>
      <c r="B377" s="208"/>
      <c r="C377" s="12"/>
      <c r="D377" s="12"/>
      <c r="E377" s="12"/>
      <c r="F377" s="12"/>
      <c r="G377" s="12"/>
      <c r="H377" s="12"/>
      <c r="I377" s="12"/>
      <c r="J377" s="12"/>
      <c r="K377" s="12"/>
      <c r="N377" s="19"/>
    </row>
    <row r="378" spans="1:15" ht="19.5" customHeight="1">
      <c r="A378" s="468" t="s">
        <v>78</v>
      </c>
      <c r="B378" s="470" t="s">
        <v>3</v>
      </c>
      <c r="C378" s="470" t="s">
        <v>74</v>
      </c>
      <c r="D378" s="465" t="s">
        <v>169</v>
      </c>
      <c r="E378" s="465" t="s">
        <v>170</v>
      </c>
      <c r="F378" s="465" t="s">
        <v>171</v>
      </c>
      <c r="G378" s="465" t="s">
        <v>75</v>
      </c>
      <c r="H378" s="465" t="s">
        <v>75</v>
      </c>
      <c r="I378" s="39"/>
      <c r="J378" s="39"/>
      <c r="K378" s="39"/>
      <c r="L378" s="39"/>
      <c r="M378" s="39"/>
      <c r="N378" s="33"/>
      <c r="O378" s="33"/>
    </row>
    <row r="379" spans="1:15" ht="27.75" customHeight="1">
      <c r="A379" s="469"/>
      <c r="B379" s="471"/>
      <c r="C379" s="471"/>
      <c r="D379" s="466"/>
      <c r="E379" s="466"/>
      <c r="F379" s="466"/>
      <c r="G379" s="466"/>
      <c r="H379" s="466"/>
      <c r="I379" s="39"/>
      <c r="J379" s="39"/>
      <c r="K379" s="39"/>
      <c r="L379" s="39"/>
      <c r="M379" s="39"/>
      <c r="N379" s="33"/>
      <c r="O379" s="33"/>
    </row>
    <row r="380" spans="1:15" ht="15">
      <c r="A380" s="473">
        <v>1</v>
      </c>
      <c r="B380" s="473"/>
      <c r="C380" s="73">
        <v>2</v>
      </c>
      <c r="D380" s="74">
        <v>3</v>
      </c>
      <c r="E380" s="74">
        <v>4</v>
      </c>
      <c r="F380" s="74">
        <v>5</v>
      </c>
      <c r="G380" s="74" t="s">
        <v>76</v>
      </c>
      <c r="H380" s="74" t="s">
        <v>77</v>
      </c>
      <c r="I380" s="39"/>
      <c r="J380" s="39"/>
      <c r="K380" s="39"/>
      <c r="L380" s="39"/>
      <c r="M380" s="39"/>
      <c r="N380" s="33"/>
      <c r="O380" s="33"/>
    </row>
    <row r="381" spans="1:16" s="13" customFormat="1" ht="18" customHeight="1">
      <c r="A381" s="456">
        <v>4</v>
      </c>
      <c r="B381" s="204" t="s">
        <v>164</v>
      </c>
      <c r="C381" s="226">
        <f>SUM(C382)</f>
        <v>50000</v>
      </c>
      <c r="D381" s="226">
        <f>SUM(D382)</f>
        <v>5460</v>
      </c>
      <c r="E381" s="226">
        <f>SUM(E382)</f>
        <v>5460</v>
      </c>
      <c r="F381" s="226">
        <f>SUM(F382)</f>
        <v>9262.310000000001</v>
      </c>
      <c r="G381" s="390">
        <f aca="true" t="shared" si="30" ref="G381:G388">F381/C381*100</f>
        <v>18.524620000000002</v>
      </c>
      <c r="H381" s="391">
        <f aca="true" t="shared" si="31" ref="H381:H388">F381/E381*100</f>
        <v>169.63937728937734</v>
      </c>
      <c r="I381" s="12"/>
      <c r="J381" s="12"/>
      <c r="K381" s="12"/>
      <c r="L381" s="12"/>
      <c r="M381" s="12"/>
      <c r="P381" s="19"/>
    </row>
    <row r="382" spans="1:16" s="13" customFormat="1" ht="15">
      <c r="A382" s="224">
        <v>42</v>
      </c>
      <c r="B382" s="225" t="s">
        <v>160</v>
      </c>
      <c r="C382" s="226">
        <f>SUM(C383,C386)</f>
        <v>50000</v>
      </c>
      <c r="D382" s="226">
        <f>SUM(D383,D386)</f>
        <v>5460</v>
      </c>
      <c r="E382" s="226">
        <f>SUM(E383,E386)</f>
        <v>5460</v>
      </c>
      <c r="F382" s="226">
        <f>SUM(F383,F386)</f>
        <v>9262.310000000001</v>
      </c>
      <c r="G382" s="422">
        <f t="shared" si="30"/>
        <v>18.524620000000002</v>
      </c>
      <c r="H382" s="423">
        <f t="shared" si="31"/>
        <v>169.63937728937734</v>
      </c>
      <c r="I382" s="12"/>
      <c r="J382" s="12"/>
      <c r="K382" s="12"/>
      <c r="L382" s="12"/>
      <c r="M382" s="12"/>
      <c r="P382" s="19"/>
    </row>
    <row r="383" spans="1:16" s="13" customFormat="1" ht="15">
      <c r="A383" s="190">
        <v>422</v>
      </c>
      <c r="B383" s="189" t="s">
        <v>21</v>
      </c>
      <c r="C383" s="192">
        <f>+C384+C385</f>
        <v>50000</v>
      </c>
      <c r="D383" s="192">
        <f>SUM(D384:D384)</f>
        <v>4500</v>
      </c>
      <c r="E383" s="192">
        <f>SUM(E384:E384)</f>
        <v>4500</v>
      </c>
      <c r="F383" s="192">
        <f>SUM(F384:F384)</f>
        <v>4500</v>
      </c>
      <c r="G383" s="163">
        <f t="shared" si="30"/>
        <v>9</v>
      </c>
      <c r="H383" s="387">
        <f t="shared" si="31"/>
        <v>100</v>
      </c>
      <c r="I383" s="12"/>
      <c r="J383" s="12"/>
      <c r="K383" s="12"/>
      <c r="L383" s="12"/>
      <c r="M383" s="12"/>
      <c r="P383" s="19"/>
    </row>
    <row r="384" spans="1:16" s="13" customFormat="1" ht="15">
      <c r="A384" s="20">
        <v>4221</v>
      </c>
      <c r="B384" s="21" t="s">
        <v>111</v>
      </c>
      <c r="C384" s="82"/>
      <c r="D384" s="22">
        <v>4500</v>
      </c>
      <c r="E384" s="22">
        <f>+D384</f>
        <v>4500</v>
      </c>
      <c r="F384" s="23">
        <v>4500</v>
      </c>
      <c r="G384" s="32" t="e">
        <f t="shared" si="30"/>
        <v>#DIV/0!</v>
      </c>
      <c r="H384" s="342">
        <f t="shared" si="31"/>
        <v>100</v>
      </c>
      <c r="I384" s="12"/>
      <c r="J384" s="12"/>
      <c r="K384" s="12"/>
      <c r="L384" s="12"/>
      <c r="M384" s="12"/>
      <c r="P384" s="19"/>
    </row>
    <row r="385" spans="1:16" s="13" customFormat="1" ht="15">
      <c r="A385" s="154">
        <v>4227</v>
      </c>
      <c r="B385" s="421" t="s">
        <v>199</v>
      </c>
      <c r="C385" s="356">
        <v>50000</v>
      </c>
      <c r="D385" s="22"/>
      <c r="E385" s="22"/>
      <c r="F385" s="22"/>
      <c r="G385" s="32">
        <f>F385/C385*100</f>
        <v>0</v>
      </c>
      <c r="H385" s="342" t="e">
        <f>F385/E385*100</f>
        <v>#DIV/0!</v>
      </c>
      <c r="I385" s="12"/>
      <c r="J385" s="12"/>
      <c r="K385" s="12"/>
      <c r="L385" s="12"/>
      <c r="M385" s="12"/>
      <c r="P385" s="19"/>
    </row>
    <row r="386" spans="1:16" s="13" customFormat="1" ht="15">
      <c r="A386" s="227">
        <v>424</v>
      </c>
      <c r="B386" s="228" t="s">
        <v>161</v>
      </c>
      <c r="C386" s="229">
        <f>SUM(C387)</f>
        <v>0</v>
      </c>
      <c r="D386" s="229">
        <f>SUM(D387)</f>
        <v>960</v>
      </c>
      <c r="E386" s="229">
        <f>SUM(E387)</f>
        <v>960</v>
      </c>
      <c r="F386" s="229">
        <f>SUM(F387)</f>
        <v>4762.31</v>
      </c>
      <c r="G386" s="162" t="e">
        <f t="shared" si="30"/>
        <v>#DIV/0!</v>
      </c>
      <c r="H386" s="183">
        <f t="shared" si="31"/>
        <v>496.0739583333334</v>
      </c>
      <c r="I386" s="12"/>
      <c r="J386" s="12"/>
      <c r="K386" s="12"/>
      <c r="L386" s="12"/>
      <c r="M386" s="12"/>
      <c r="P386" s="19"/>
    </row>
    <row r="387" spans="1:16" s="13" customFormat="1" ht="15">
      <c r="A387" s="154">
        <v>4241</v>
      </c>
      <c r="B387" s="338" t="s">
        <v>139</v>
      </c>
      <c r="C387" s="150"/>
      <c r="D387" s="23">
        <v>960</v>
      </c>
      <c r="E387" s="23">
        <v>960</v>
      </c>
      <c r="F387" s="23">
        <v>4762.31</v>
      </c>
      <c r="G387" s="194" t="e">
        <f t="shared" si="30"/>
        <v>#DIV/0!</v>
      </c>
      <c r="H387" s="195">
        <f t="shared" si="31"/>
        <v>496.0739583333334</v>
      </c>
      <c r="I387" s="12"/>
      <c r="J387" s="12"/>
      <c r="K387" s="12"/>
      <c r="L387" s="12"/>
      <c r="M387" s="12"/>
      <c r="P387" s="19"/>
    </row>
    <row r="388" spans="1:16" s="13" customFormat="1" ht="15">
      <c r="A388" s="503" t="s">
        <v>6</v>
      </c>
      <c r="B388" s="504"/>
      <c r="C388" s="221">
        <f>+C383+C386</f>
        <v>50000</v>
      </c>
      <c r="D388" s="221">
        <f>+D383+D386</f>
        <v>5460</v>
      </c>
      <c r="E388" s="221">
        <f>+E383+E386</f>
        <v>5460</v>
      </c>
      <c r="F388" s="221">
        <f>+F383+F386</f>
        <v>9262.310000000001</v>
      </c>
      <c r="G388" s="256">
        <f t="shared" si="30"/>
        <v>18.524620000000002</v>
      </c>
      <c r="H388" s="257">
        <f t="shared" si="31"/>
        <v>169.63937728937734</v>
      </c>
      <c r="I388" s="12"/>
      <c r="J388" s="12"/>
      <c r="K388" s="12"/>
      <c r="L388" s="12"/>
      <c r="M388" s="12"/>
      <c r="P388" s="19"/>
    </row>
    <row r="389" spans="1:8" ht="18.75" customHeight="1">
      <c r="A389" s="35"/>
      <c r="B389" s="35"/>
      <c r="C389" s="35"/>
      <c r="D389" s="34"/>
      <c r="E389" s="34"/>
      <c r="F389" s="34"/>
      <c r="G389" s="12"/>
      <c r="H389" s="12"/>
    </row>
    <row r="390" spans="1:14" s="13" customFormat="1" ht="15">
      <c r="A390" s="207" t="s">
        <v>112</v>
      </c>
      <c r="B390" s="208"/>
      <c r="C390" s="12"/>
      <c r="D390" s="12"/>
      <c r="E390" s="12"/>
      <c r="F390" s="12"/>
      <c r="G390" s="12"/>
      <c r="H390" s="12"/>
      <c r="I390" s="12"/>
      <c r="J390" s="12"/>
      <c r="K390" s="12"/>
      <c r="N390" s="19"/>
    </row>
    <row r="391" spans="1:15" ht="19.5" customHeight="1">
      <c r="A391" s="468" t="s">
        <v>78</v>
      </c>
      <c r="B391" s="470" t="s">
        <v>3</v>
      </c>
      <c r="C391" s="470" t="s">
        <v>74</v>
      </c>
      <c r="D391" s="465" t="s">
        <v>169</v>
      </c>
      <c r="E391" s="465" t="s">
        <v>170</v>
      </c>
      <c r="F391" s="465" t="s">
        <v>171</v>
      </c>
      <c r="G391" s="465" t="s">
        <v>75</v>
      </c>
      <c r="H391" s="465" t="s">
        <v>75</v>
      </c>
      <c r="I391" s="39"/>
      <c r="J391" s="39"/>
      <c r="K391" s="39"/>
      <c r="L391" s="39"/>
      <c r="M391" s="39"/>
      <c r="N391" s="33"/>
      <c r="O391" s="33"/>
    </row>
    <row r="392" spans="1:15" ht="27.75" customHeight="1">
      <c r="A392" s="469"/>
      <c r="B392" s="471"/>
      <c r="C392" s="471"/>
      <c r="D392" s="466"/>
      <c r="E392" s="466"/>
      <c r="F392" s="466"/>
      <c r="G392" s="466"/>
      <c r="H392" s="466"/>
      <c r="I392" s="39"/>
      <c r="J392" s="39"/>
      <c r="K392" s="39"/>
      <c r="L392" s="39"/>
      <c r="M392" s="39"/>
      <c r="N392" s="33"/>
      <c r="O392" s="33"/>
    </row>
    <row r="393" spans="1:15" ht="15">
      <c r="A393" s="473">
        <v>1</v>
      </c>
      <c r="B393" s="473"/>
      <c r="C393" s="73">
        <v>2</v>
      </c>
      <c r="D393" s="74">
        <v>3</v>
      </c>
      <c r="E393" s="74">
        <v>4</v>
      </c>
      <c r="F393" s="74">
        <v>5</v>
      </c>
      <c r="G393" s="74" t="s">
        <v>76</v>
      </c>
      <c r="H393" s="74" t="s">
        <v>77</v>
      </c>
      <c r="I393" s="39"/>
      <c r="J393" s="39"/>
      <c r="K393" s="39"/>
      <c r="L393" s="39"/>
      <c r="M393" s="39"/>
      <c r="N393" s="33"/>
      <c r="O393" s="33"/>
    </row>
    <row r="394" spans="1:16" s="13" customFormat="1" ht="18" customHeight="1">
      <c r="A394" s="203">
        <v>4</v>
      </c>
      <c r="B394" s="426" t="s">
        <v>164</v>
      </c>
      <c r="C394" s="226">
        <f>+C395+C398</f>
        <v>305367.5</v>
      </c>
      <c r="D394" s="226">
        <f>SUM(D395)</f>
        <v>55615.5</v>
      </c>
      <c r="E394" s="226">
        <f>SUM(E395)</f>
        <v>55615.5</v>
      </c>
      <c r="F394" s="226">
        <f>SUM(F395)</f>
        <v>55615</v>
      </c>
      <c r="G394" s="390">
        <f aca="true" t="shared" si="32" ref="G394:G403">F394/C394*100</f>
        <v>18.212481681907867</v>
      </c>
      <c r="H394" s="391">
        <f aca="true" t="shared" si="33" ref="H394:H403">F394/E394*100</f>
        <v>99.9991009700533</v>
      </c>
      <c r="I394" s="12"/>
      <c r="J394" s="12"/>
      <c r="K394" s="12"/>
      <c r="L394" s="12"/>
      <c r="M394" s="12"/>
      <c r="P394" s="19"/>
    </row>
    <row r="395" spans="1:16" s="13" customFormat="1" ht="30">
      <c r="A395" s="292">
        <v>41</v>
      </c>
      <c r="B395" s="294" t="s">
        <v>200</v>
      </c>
      <c r="C395" s="293">
        <f>SUM(C396,C399)</f>
        <v>305367.5</v>
      </c>
      <c r="D395" s="226">
        <f>SUM(D396,D399)</f>
        <v>55615.5</v>
      </c>
      <c r="E395" s="226">
        <f>SUM(E396,E399)</f>
        <v>55615.5</v>
      </c>
      <c r="F395" s="226">
        <f>SUM(F396,F399)</f>
        <v>55615</v>
      </c>
      <c r="G395" s="422">
        <f t="shared" si="32"/>
        <v>18.212481681907867</v>
      </c>
      <c r="H395" s="423">
        <f t="shared" si="33"/>
        <v>99.9991009700533</v>
      </c>
      <c r="I395" s="12"/>
      <c r="J395" s="12"/>
      <c r="K395" s="12"/>
      <c r="L395" s="12"/>
      <c r="M395" s="12"/>
      <c r="P395" s="19"/>
    </row>
    <row r="396" spans="1:16" s="13" customFormat="1" ht="15">
      <c r="A396" s="190">
        <v>412</v>
      </c>
      <c r="B396" s="228" t="s">
        <v>21</v>
      </c>
      <c r="C396" s="229">
        <f>SUM(C397:C397)</f>
        <v>4636.25</v>
      </c>
      <c r="D396" s="229">
        <f>SUM(D397:D397)</f>
        <v>2500</v>
      </c>
      <c r="E396" s="229">
        <f>SUM(E397:E397)</f>
        <v>2500</v>
      </c>
      <c r="F396" s="229">
        <f>SUM(F397:F397)</f>
        <v>2500</v>
      </c>
      <c r="G396" s="419">
        <f t="shared" si="32"/>
        <v>53.92289026691831</v>
      </c>
      <c r="H396" s="420">
        <f t="shared" si="33"/>
        <v>100</v>
      </c>
      <c r="I396" s="12"/>
      <c r="J396" s="12"/>
      <c r="K396" s="12"/>
      <c r="L396" s="12"/>
      <c r="M396" s="12"/>
      <c r="P396" s="19"/>
    </row>
    <row r="397" spans="1:16" s="13" customFormat="1" ht="15">
      <c r="A397" s="20">
        <v>4123</v>
      </c>
      <c r="B397" s="21" t="s">
        <v>142</v>
      </c>
      <c r="C397" s="82">
        <v>4636.25</v>
      </c>
      <c r="D397" s="22">
        <v>2500</v>
      </c>
      <c r="E397" s="22">
        <f>+D397</f>
        <v>2500</v>
      </c>
      <c r="F397" s="22">
        <v>2500</v>
      </c>
      <c r="G397" s="32">
        <f t="shared" si="32"/>
        <v>53.92289026691831</v>
      </c>
      <c r="H397" s="342">
        <f t="shared" si="33"/>
        <v>100</v>
      </c>
      <c r="I397" s="12"/>
      <c r="J397" s="12"/>
      <c r="K397" s="12"/>
      <c r="L397" s="12"/>
      <c r="M397" s="12"/>
      <c r="P397" s="19"/>
    </row>
    <row r="398" spans="1:16" s="13" customFormat="1" ht="15">
      <c r="A398" s="224">
        <v>42</v>
      </c>
      <c r="B398" s="225" t="s">
        <v>160</v>
      </c>
      <c r="C398" s="424"/>
      <c r="D398" s="417"/>
      <c r="E398" s="417"/>
      <c r="F398" s="417"/>
      <c r="G398" s="159"/>
      <c r="H398" s="388"/>
      <c r="I398" s="12"/>
      <c r="J398" s="12"/>
      <c r="K398" s="12"/>
      <c r="L398" s="12"/>
      <c r="M398" s="12"/>
      <c r="P398" s="19"/>
    </row>
    <row r="399" spans="1:16" s="13" customFormat="1" ht="15">
      <c r="A399" s="227">
        <v>422</v>
      </c>
      <c r="B399" s="228" t="s">
        <v>21</v>
      </c>
      <c r="C399" s="229">
        <f>SUM(C400:C402)</f>
        <v>300731.25</v>
      </c>
      <c r="D399" s="229">
        <f>+D400+D402</f>
        <v>53115.5</v>
      </c>
      <c r="E399" s="229">
        <f>+E400+E402</f>
        <v>53115.5</v>
      </c>
      <c r="F399" s="229">
        <f>+F400+F402</f>
        <v>53115</v>
      </c>
      <c r="G399" s="163">
        <f t="shared" si="32"/>
        <v>17.661948999314173</v>
      </c>
      <c r="H399" s="387">
        <f t="shared" si="33"/>
        <v>99.99905865519482</v>
      </c>
      <c r="I399" s="12"/>
      <c r="J399" s="12"/>
      <c r="K399" s="12"/>
      <c r="L399" s="12"/>
      <c r="M399" s="12"/>
      <c r="P399" s="19"/>
    </row>
    <row r="400" spans="1:16" s="13" customFormat="1" ht="15">
      <c r="A400" s="258">
        <v>4221</v>
      </c>
      <c r="B400" s="259" t="s">
        <v>111</v>
      </c>
      <c r="C400" s="425"/>
      <c r="D400" s="260">
        <v>26025</v>
      </c>
      <c r="E400" s="260">
        <f>+D400</f>
        <v>26025</v>
      </c>
      <c r="F400" s="260">
        <v>26025</v>
      </c>
      <c r="G400" s="61" t="e">
        <f>F400/C400*100</f>
        <v>#DIV/0!</v>
      </c>
      <c r="H400" s="64">
        <f>F400/E400*100</f>
        <v>100</v>
      </c>
      <c r="I400" s="12"/>
      <c r="J400" s="12"/>
      <c r="K400" s="12"/>
      <c r="L400" s="12"/>
      <c r="M400" s="12"/>
      <c r="P400" s="19"/>
    </row>
    <row r="401" spans="1:16" s="13" customFormat="1" ht="15">
      <c r="A401" s="258">
        <v>4224</v>
      </c>
      <c r="B401" s="261" t="s">
        <v>198</v>
      </c>
      <c r="C401" s="260">
        <v>129630</v>
      </c>
      <c r="D401" s="260"/>
      <c r="E401" s="260"/>
      <c r="F401" s="260"/>
      <c r="G401" s="61">
        <f>F401/C401*100</f>
        <v>0</v>
      </c>
      <c r="H401" s="64" t="e">
        <f>F401/E401*100</f>
        <v>#DIV/0!</v>
      </c>
      <c r="I401" s="12"/>
      <c r="J401" s="12"/>
      <c r="K401" s="12"/>
      <c r="L401" s="12"/>
      <c r="M401" s="12"/>
      <c r="P401" s="19"/>
    </row>
    <row r="402" spans="1:16" s="13" customFormat="1" ht="15">
      <c r="A402" s="154">
        <v>4227</v>
      </c>
      <c r="B402" s="338" t="s">
        <v>199</v>
      </c>
      <c r="C402" s="339">
        <v>171101.25</v>
      </c>
      <c r="D402" s="427">
        <v>27090.5</v>
      </c>
      <c r="E402" s="427">
        <f>+D402</f>
        <v>27090.5</v>
      </c>
      <c r="F402" s="153">
        <v>27090</v>
      </c>
      <c r="G402" s="194">
        <f t="shared" si="32"/>
        <v>15.832730620027617</v>
      </c>
      <c r="H402" s="195">
        <f t="shared" si="33"/>
        <v>99.99815433454532</v>
      </c>
      <c r="I402" s="12"/>
      <c r="J402" s="12"/>
      <c r="K402" s="12"/>
      <c r="L402" s="12"/>
      <c r="M402" s="12"/>
      <c r="P402" s="19"/>
    </row>
    <row r="403" spans="1:16" s="13" customFormat="1" ht="15">
      <c r="A403" s="503" t="s">
        <v>6</v>
      </c>
      <c r="B403" s="504"/>
      <c r="C403" s="221">
        <f>+C396+C399</f>
        <v>305367.5</v>
      </c>
      <c r="D403" s="221">
        <f>+D396+D399</f>
        <v>55615.5</v>
      </c>
      <c r="E403" s="221">
        <f>+E396+E399</f>
        <v>55615.5</v>
      </c>
      <c r="F403" s="221">
        <f>+F396+F399</f>
        <v>55615</v>
      </c>
      <c r="G403" s="198">
        <f t="shared" si="32"/>
        <v>18.212481681907867</v>
      </c>
      <c r="H403" s="199">
        <f t="shared" si="33"/>
        <v>99.9991009700533</v>
      </c>
      <c r="I403" s="12"/>
      <c r="J403" s="12"/>
      <c r="K403" s="12"/>
      <c r="L403" s="12"/>
      <c r="M403" s="12"/>
      <c r="P403" s="19"/>
    </row>
    <row r="404" spans="1:16" s="13" customFormat="1" ht="15">
      <c r="A404" s="271"/>
      <c r="B404" s="271"/>
      <c r="C404" s="279"/>
      <c r="D404" s="279"/>
      <c r="E404" s="279"/>
      <c r="F404" s="279"/>
      <c r="G404" s="430"/>
      <c r="H404" s="430"/>
      <c r="I404" s="12"/>
      <c r="J404" s="12"/>
      <c r="K404" s="12"/>
      <c r="L404" s="12"/>
      <c r="M404" s="12"/>
      <c r="P404" s="19"/>
    </row>
    <row r="405" spans="1:8" s="85" customFormat="1" ht="15">
      <c r="A405" s="209" t="s">
        <v>195</v>
      </c>
      <c r="B405" s="211"/>
      <c r="C405" s="35"/>
      <c r="D405" s="34"/>
      <c r="E405" s="34"/>
      <c r="F405" s="34"/>
      <c r="G405" s="428"/>
      <c r="H405" s="429"/>
    </row>
    <row r="406" spans="1:8" ht="13.5" customHeight="1">
      <c r="A406" s="468" t="s">
        <v>78</v>
      </c>
      <c r="B406" s="470" t="s">
        <v>3</v>
      </c>
      <c r="C406" s="470" t="s">
        <v>74</v>
      </c>
      <c r="D406" s="465" t="s">
        <v>169</v>
      </c>
      <c r="E406" s="465" t="s">
        <v>170</v>
      </c>
      <c r="F406" s="465" t="s">
        <v>171</v>
      </c>
      <c r="G406" s="465" t="s">
        <v>75</v>
      </c>
      <c r="H406" s="465" t="s">
        <v>75</v>
      </c>
    </row>
    <row r="407" spans="1:8" ht="30" customHeight="1">
      <c r="A407" s="469"/>
      <c r="B407" s="471"/>
      <c r="C407" s="471"/>
      <c r="D407" s="466"/>
      <c r="E407" s="466"/>
      <c r="F407" s="466"/>
      <c r="G407" s="466"/>
      <c r="H407" s="466"/>
    </row>
    <row r="408" spans="1:8" ht="15">
      <c r="A408" s="473">
        <v>1</v>
      </c>
      <c r="B408" s="473"/>
      <c r="C408" s="73">
        <v>2</v>
      </c>
      <c r="D408" s="74">
        <v>3</v>
      </c>
      <c r="E408" s="74">
        <v>4</v>
      </c>
      <c r="F408" s="74">
        <v>5</v>
      </c>
      <c r="G408" s="74" t="s">
        <v>76</v>
      </c>
      <c r="H408" s="74" t="s">
        <v>77</v>
      </c>
    </row>
    <row r="409" spans="1:8" ht="25.5" customHeight="1">
      <c r="A409" s="222">
        <v>42</v>
      </c>
      <c r="B409" s="179" t="s">
        <v>22</v>
      </c>
      <c r="C409" s="158">
        <f>SUM(C410)</f>
        <v>0</v>
      </c>
      <c r="D409" s="158">
        <f aca="true" t="shared" si="34" ref="D409:F410">SUM(D410)</f>
        <v>3994</v>
      </c>
      <c r="E409" s="158">
        <f t="shared" si="34"/>
        <v>3994</v>
      </c>
      <c r="F409" s="158">
        <f t="shared" si="34"/>
        <v>3994</v>
      </c>
      <c r="G409" s="390" t="e">
        <f>F409/C409*100</f>
        <v>#DIV/0!</v>
      </c>
      <c r="H409" s="391">
        <f>F409/E409*100</f>
        <v>100</v>
      </c>
    </row>
    <row r="410" spans="1:8" s="19" customFormat="1" ht="15">
      <c r="A410" s="205">
        <v>422</v>
      </c>
      <c r="B410" s="166" t="s">
        <v>21</v>
      </c>
      <c r="C410" s="223">
        <f>SUM(C411)</f>
        <v>0</v>
      </c>
      <c r="D410" s="220">
        <f t="shared" si="34"/>
        <v>3994</v>
      </c>
      <c r="E410" s="220">
        <f t="shared" si="34"/>
        <v>3994</v>
      </c>
      <c r="F410" s="220">
        <f t="shared" si="34"/>
        <v>3994</v>
      </c>
      <c r="G410" s="163" t="e">
        <f>F410/C410*100</f>
        <v>#DIV/0!</v>
      </c>
      <c r="H410" s="387">
        <f>F410/E410*100</f>
        <v>100</v>
      </c>
    </row>
    <row r="411" spans="1:8" ht="15">
      <c r="A411" s="431">
        <v>4221</v>
      </c>
      <c r="B411" s="261" t="s">
        <v>111</v>
      </c>
      <c r="C411" s="432"/>
      <c r="D411" s="22">
        <v>3994</v>
      </c>
      <c r="E411" s="22">
        <f>+D411</f>
        <v>3994</v>
      </c>
      <c r="F411" s="22">
        <v>3994</v>
      </c>
      <c r="G411" s="380" t="e">
        <f>F411/C411*100</f>
        <v>#DIV/0!</v>
      </c>
      <c r="H411" s="381">
        <f>F411/E411*100</f>
        <v>100</v>
      </c>
    </row>
    <row r="412" spans="1:8" ht="15">
      <c r="A412" s="476" t="s">
        <v>6</v>
      </c>
      <c r="B412" s="476"/>
      <c r="C412" s="241">
        <f>C409</f>
        <v>0</v>
      </c>
      <c r="D412" s="241">
        <f>D409</f>
        <v>3994</v>
      </c>
      <c r="E412" s="241">
        <f>E409</f>
        <v>3994</v>
      </c>
      <c r="F412" s="241">
        <f>F409</f>
        <v>3994</v>
      </c>
      <c r="G412" s="256" t="e">
        <f>F412/C412*100</f>
        <v>#DIV/0!</v>
      </c>
      <c r="H412" s="257">
        <f>F412/E412*100</f>
        <v>100</v>
      </c>
    </row>
    <row r="413" spans="1:16" s="13" customFormat="1" ht="15">
      <c r="A413" s="271"/>
      <c r="B413" s="271"/>
      <c r="C413" s="279"/>
      <c r="D413" s="279"/>
      <c r="E413" s="279"/>
      <c r="F413" s="279"/>
      <c r="G413" s="430"/>
      <c r="H413" s="457"/>
      <c r="I413" s="12"/>
      <c r="J413" s="12"/>
      <c r="K413" s="12"/>
      <c r="L413" s="12"/>
      <c r="M413" s="12"/>
      <c r="P413" s="19"/>
    </row>
    <row r="414" spans="1:8" s="85" customFormat="1" ht="15">
      <c r="A414" s="209" t="s">
        <v>201</v>
      </c>
      <c r="B414" s="211"/>
      <c r="C414" s="35"/>
      <c r="D414" s="34"/>
      <c r="E414" s="34"/>
      <c r="F414" s="34"/>
      <c r="G414" s="34"/>
      <c r="H414" s="39"/>
    </row>
    <row r="415" spans="1:8" ht="13.5" customHeight="1">
      <c r="A415" s="468" t="s">
        <v>78</v>
      </c>
      <c r="B415" s="470" t="s">
        <v>3</v>
      </c>
      <c r="C415" s="470" t="s">
        <v>74</v>
      </c>
      <c r="D415" s="465" t="s">
        <v>169</v>
      </c>
      <c r="E415" s="465" t="s">
        <v>170</v>
      </c>
      <c r="F415" s="465" t="s">
        <v>171</v>
      </c>
      <c r="G415" s="465" t="s">
        <v>75</v>
      </c>
      <c r="H415" s="465" t="s">
        <v>75</v>
      </c>
    </row>
    <row r="416" spans="1:8" ht="30" customHeight="1">
      <c r="A416" s="469"/>
      <c r="B416" s="471"/>
      <c r="C416" s="471"/>
      <c r="D416" s="466"/>
      <c r="E416" s="466"/>
      <c r="F416" s="466"/>
      <c r="G416" s="466"/>
      <c r="H416" s="466"/>
    </row>
    <row r="417" spans="1:8" ht="15">
      <c r="A417" s="473">
        <v>1</v>
      </c>
      <c r="B417" s="473"/>
      <c r="C417" s="73">
        <v>2</v>
      </c>
      <c r="D417" s="74">
        <v>3</v>
      </c>
      <c r="E417" s="74">
        <v>4</v>
      </c>
      <c r="F417" s="74">
        <v>5</v>
      </c>
      <c r="G417" s="74" t="s">
        <v>76</v>
      </c>
      <c r="H417" s="74" t="s">
        <v>77</v>
      </c>
    </row>
    <row r="418" spans="1:8" ht="25.5" customHeight="1">
      <c r="A418" s="222">
        <v>42</v>
      </c>
      <c r="B418" s="179" t="s">
        <v>22</v>
      </c>
      <c r="C418" s="158">
        <f>SUM(C419)</f>
        <v>0</v>
      </c>
      <c r="D418" s="158">
        <f aca="true" t="shared" si="35" ref="D418:F419">SUM(D419)</f>
        <v>1465.8</v>
      </c>
      <c r="E418" s="158">
        <f t="shared" si="35"/>
        <v>1465.8</v>
      </c>
      <c r="F418" s="158">
        <f t="shared" si="35"/>
        <v>1129.8</v>
      </c>
      <c r="G418" s="390" t="e">
        <f>F418/C418*100</f>
        <v>#DIV/0!</v>
      </c>
      <c r="H418" s="391">
        <f>F418/E418*100</f>
        <v>77.07736389684814</v>
      </c>
    </row>
    <row r="419" spans="1:8" s="19" customFormat="1" ht="15">
      <c r="A419" s="205">
        <v>422</v>
      </c>
      <c r="B419" s="166" t="s">
        <v>21</v>
      </c>
      <c r="C419" s="223">
        <f>SUM(C420)</f>
        <v>0</v>
      </c>
      <c r="D419" s="220">
        <f t="shared" si="35"/>
        <v>1465.8</v>
      </c>
      <c r="E419" s="220">
        <f t="shared" si="35"/>
        <v>1465.8</v>
      </c>
      <c r="F419" s="220">
        <f t="shared" si="35"/>
        <v>1129.8</v>
      </c>
      <c r="G419" s="163" t="e">
        <f>F419/C419*100</f>
        <v>#DIV/0!</v>
      </c>
      <c r="H419" s="387">
        <f>F419/E419*100</f>
        <v>77.07736389684814</v>
      </c>
    </row>
    <row r="420" spans="1:8" ht="15">
      <c r="A420" s="134">
        <v>4221</v>
      </c>
      <c r="B420" s="132" t="s">
        <v>111</v>
      </c>
      <c r="C420" s="140"/>
      <c r="D420" s="63">
        <v>1465.8</v>
      </c>
      <c r="E420" s="63">
        <f>+D420</f>
        <v>1465.8</v>
      </c>
      <c r="F420" s="63">
        <v>1129.8</v>
      </c>
      <c r="G420" s="194" t="e">
        <f>F420/C420*100</f>
        <v>#DIV/0!</v>
      </c>
      <c r="H420" s="195">
        <f>F420/E420*100</f>
        <v>77.07736389684814</v>
      </c>
    </row>
    <row r="421" spans="1:8" ht="15">
      <c r="A421" s="476" t="s">
        <v>6</v>
      </c>
      <c r="B421" s="476"/>
      <c r="C421" s="241">
        <f>C418</f>
        <v>0</v>
      </c>
      <c r="D421" s="241">
        <f>D418</f>
        <v>1465.8</v>
      </c>
      <c r="E421" s="241">
        <f>E418</f>
        <v>1465.8</v>
      </c>
      <c r="F421" s="241">
        <f>F418</f>
        <v>1129.8</v>
      </c>
      <c r="G421" s="198" t="e">
        <f>F421/C421*100</f>
        <v>#DIV/0!</v>
      </c>
      <c r="H421" s="199">
        <f>F421/E421*100</f>
        <v>77.07736389684814</v>
      </c>
    </row>
    <row r="422" spans="1:16" s="13" customFormat="1" ht="15">
      <c r="A422" s="271"/>
      <c r="B422" s="271"/>
      <c r="C422" s="279"/>
      <c r="D422" s="279"/>
      <c r="E422" s="279"/>
      <c r="F422" s="279"/>
      <c r="G422" s="430"/>
      <c r="H422" s="430"/>
      <c r="I422" s="12"/>
      <c r="J422" s="12"/>
      <c r="K422" s="12"/>
      <c r="L422" s="12"/>
      <c r="M422" s="12"/>
      <c r="P422" s="19"/>
    </row>
    <row r="423" spans="1:8" s="85" customFormat="1" ht="15">
      <c r="A423" s="209" t="s">
        <v>202</v>
      </c>
      <c r="B423" s="211"/>
      <c r="C423" s="35"/>
      <c r="D423" s="34"/>
      <c r="E423" s="34"/>
      <c r="F423" s="34"/>
      <c r="G423" s="428"/>
      <c r="H423" s="429"/>
    </row>
    <row r="424" spans="1:8" ht="13.5" customHeight="1">
      <c r="A424" s="468" t="s">
        <v>78</v>
      </c>
      <c r="B424" s="470" t="s">
        <v>3</v>
      </c>
      <c r="C424" s="470" t="s">
        <v>74</v>
      </c>
      <c r="D424" s="465" t="s">
        <v>169</v>
      </c>
      <c r="E424" s="465" t="s">
        <v>170</v>
      </c>
      <c r="F424" s="465" t="s">
        <v>171</v>
      </c>
      <c r="G424" s="465" t="s">
        <v>75</v>
      </c>
      <c r="H424" s="465" t="s">
        <v>75</v>
      </c>
    </row>
    <row r="425" spans="1:8" ht="30" customHeight="1">
      <c r="A425" s="469"/>
      <c r="B425" s="471"/>
      <c r="C425" s="471"/>
      <c r="D425" s="466"/>
      <c r="E425" s="466"/>
      <c r="F425" s="466"/>
      <c r="G425" s="466"/>
      <c r="H425" s="466"/>
    </row>
    <row r="426" spans="1:8" ht="15">
      <c r="A426" s="473">
        <v>1</v>
      </c>
      <c r="B426" s="473"/>
      <c r="C426" s="73">
        <v>2</v>
      </c>
      <c r="D426" s="74">
        <v>3</v>
      </c>
      <c r="E426" s="74">
        <v>4</v>
      </c>
      <c r="F426" s="74">
        <v>5</v>
      </c>
      <c r="G426" s="74" t="s">
        <v>76</v>
      </c>
      <c r="H426" s="74" t="s">
        <v>77</v>
      </c>
    </row>
    <row r="427" spans="1:8" ht="25.5" customHeight="1">
      <c r="A427" s="222">
        <v>42</v>
      </c>
      <c r="B427" s="179" t="s">
        <v>22</v>
      </c>
      <c r="C427" s="158">
        <f>SUM(C428)</f>
        <v>0</v>
      </c>
      <c r="D427" s="158">
        <f aca="true" t="shared" si="36" ref="D427:F428">SUM(D428)</f>
        <v>877.8</v>
      </c>
      <c r="E427" s="158">
        <f t="shared" si="36"/>
        <v>877.8</v>
      </c>
      <c r="F427" s="158">
        <f t="shared" si="36"/>
        <v>877.8</v>
      </c>
      <c r="G427" s="390" t="e">
        <f>F427/C427*100</f>
        <v>#DIV/0!</v>
      </c>
      <c r="H427" s="391">
        <f>F427/E427*100</f>
        <v>100</v>
      </c>
    </row>
    <row r="428" spans="1:8" s="19" customFormat="1" ht="15">
      <c r="A428" s="205">
        <v>422</v>
      </c>
      <c r="B428" s="166" t="s">
        <v>21</v>
      </c>
      <c r="C428" s="223">
        <f>SUM(C429)</f>
        <v>0</v>
      </c>
      <c r="D428" s="220">
        <f t="shared" si="36"/>
        <v>877.8</v>
      </c>
      <c r="E428" s="220">
        <f t="shared" si="36"/>
        <v>877.8</v>
      </c>
      <c r="F428" s="220">
        <f t="shared" si="36"/>
        <v>877.8</v>
      </c>
      <c r="G428" s="163" t="e">
        <f>F428/C428*100</f>
        <v>#DIV/0!</v>
      </c>
      <c r="H428" s="387">
        <f>F428/E428*100</f>
        <v>100</v>
      </c>
    </row>
    <row r="429" spans="1:8" ht="15">
      <c r="A429" s="134">
        <v>4227</v>
      </c>
      <c r="B429" s="72" t="s">
        <v>199</v>
      </c>
      <c r="C429" s="140"/>
      <c r="D429" s="63">
        <v>877.8</v>
      </c>
      <c r="E429" s="63">
        <f>+D429</f>
        <v>877.8</v>
      </c>
      <c r="F429" s="63">
        <v>877.8</v>
      </c>
      <c r="G429" s="194" t="e">
        <f>F429/C429*100</f>
        <v>#DIV/0!</v>
      </c>
      <c r="H429" s="195">
        <f>F429/E429*100</f>
        <v>100</v>
      </c>
    </row>
    <row r="430" spans="1:8" ht="15">
      <c r="A430" s="476" t="s">
        <v>6</v>
      </c>
      <c r="B430" s="476"/>
      <c r="C430" s="241">
        <f>C427</f>
        <v>0</v>
      </c>
      <c r="D430" s="241">
        <f>D427</f>
        <v>877.8</v>
      </c>
      <c r="E430" s="241">
        <f>E427</f>
        <v>877.8</v>
      </c>
      <c r="F430" s="241">
        <f>F427</f>
        <v>877.8</v>
      </c>
      <c r="G430" s="198" t="e">
        <f>F430/C430*100</f>
        <v>#DIV/0!</v>
      </c>
      <c r="H430" s="199">
        <f>F430/E430*100</f>
        <v>100</v>
      </c>
    </row>
    <row r="431" spans="1:8" ht="15">
      <c r="A431" s="323"/>
      <c r="B431" s="323"/>
      <c r="C431" s="39"/>
      <c r="D431" s="39"/>
      <c r="E431" s="39"/>
      <c r="F431" s="39"/>
      <c r="G431" s="430"/>
      <c r="H431" s="430"/>
    </row>
    <row r="432" spans="1:16" s="13" customFormat="1" ht="15">
      <c r="A432" s="271"/>
      <c r="B432" s="271"/>
      <c r="C432" s="279"/>
      <c r="D432" s="279"/>
      <c r="E432" s="279"/>
      <c r="F432" s="279"/>
      <c r="G432" s="17"/>
      <c r="H432" s="17"/>
      <c r="I432" s="12"/>
      <c r="J432" s="12"/>
      <c r="K432" s="12"/>
      <c r="L432" s="12"/>
      <c r="M432" s="12"/>
      <c r="P432" s="19"/>
    </row>
    <row r="433" spans="1:16" s="19" customFormat="1" ht="15.75" customHeight="1">
      <c r="A433" s="322" t="s">
        <v>203</v>
      </c>
      <c r="B433" s="45"/>
      <c r="C433" s="45"/>
      <c r="D433" s="45"/>
      <c r="E433" s="45"/>
      <c r="F433" s="45"/>
      <c r="G433" s="45"/>
      <c r="H433" s="29"/>
      <c r="I433" s="12"/>
      <c r="J433" s="12"/>
      <c r="K433" s="17"/>
      <c r="L433" s="17"/>
      <c r="M433" s="12"/>
      <c r="N433" s="19">
        <v>0</v>
      </c>
      <c r="O433" s="19">
        <v>0</v>
      </c>
      <c r="P433" s="19">
        <f>SUM(H433:J433)</f>
        <v>0</v>
      </c>
    </row>
    <row r="434" spans="1:13" s="19" customFormat="1" ht="15.75" customHeight="1">
      <c r="A434" s="44"/>
      <c r="B434" s="45"/>
      <c r="C434" s="45"/>
      <c r="D434" s="45"/>
      <c r="E434" s="45"/>
      <c r="F434" s="45"/>
      <c r="G434" s="45"/>
      <c r="H434" s="29"/>
      <c r="I434" s="12"/>
      <c r="J434" s="12"/>
      <c r="K434" s="17"/>
      <c r="L434" s="17"/>
      <c r="M434" s="12"/>
    </row>
    <row r="435" spans="1:13" s="19" customFormat="1" ht="15.75" customHeight="1">
      <c r="A435" s="479" t="s">
        <v>219</v>
      </c>
      <c r="B435" s="479"/>
      <c r="C435" s="479"/>
      <c r="D435" s="479"/>
      <c r="E435" s="45"/>
      <c r="F435" s="45"/>
      <c r="G435" s="45"/>
      <c r="H435" s="29"/>
      <c r="I435" s="12"/>
      <c r="J435" s="12"/>
      <c r="K435" s="17"/>
      <c r="L435" s="17"/>
      <c r="M435" s="12"/>
    </row>
    <row r="436" spans="1:13" s="19" customFormat="1" ht="15.75" customHeight="1">
      <c r="A436" s="44"/>
      <c r="B436" s="45"/>
      <c r="C436" s="45"/>
      <c r="D436" s="45"/>
      <c r="E436" s="45"/>
      <c r="F436" s="45"/>
      <c r="G436" s="45"/>
      <c r="H436" s="29"/>
      <c r="I436" s="12"/>
      <c r="J436" s="12"/>
      <c r="K436" s="17"/>
      <c r="L436" s="17"/>
      <c r="M436" s="12"/>
    </row>
    <row r="437" spans="1:16" s="13" customFormat="1" ht="15">
      <c r="A437" s="207" t="s">
        <v>80</v>
      </c>
      <c r="B437" s="11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P437" s="19"/>
    </row>
    <row r="438" spans="1:16" ht="15">
      <c r="A438" s="468" t="s">
        <v>78</v>
      </c>
      <c r="B438" s="470" t="s">
        <v>3</v>
      </c>
      <c r="C438" s="470" t="s">
        <v>74</v>
      </c>
      <c r="D438" s="465" t="s">
        <v>169</v>
      </c>
      <c r="E438" s="465" t="s">
        <v>170</v>
      </c>
      <c r="F438" s="465" t="s">
        <v>171</v>
      </c>
      <c r="G438" s="465" t="s">
        <v>75</v>
      </c>
      <c r="H438" s="465" t="s">
        <v>75</v>
      </c>
      <c r="I438" s="23"/>
      <c r="J438" s="23"/>
      <c r="K438" s="24"/>
      <c r="L438" s="24"/>
      <c r="M438" s="23"/>
      <c r="P438" s="19"/>
    </row>
    <row r="439" spans="1:16" ht="15">
      <c r="A439" s="469"/>
      <c r="B439" s="471"/>
      <c r="C439" s="471"/>
      <c r="D439" s="466"/>
      <c r="E439" s="466"/>
      <c r="F439" s="466"/>
      <c r="G439" s="466"/>
      <c r="H439" s="466"/>
      <c r="I439" s="23"/>
      <c r="J439" s="23"/>
      <c r="K439" s="24"/>
      <c r="L439" s="24"/>
      <c r="M439" s="23"/>
      <c r="P439" s="19"/>
    </row>
    <row r="440" spans="1:16" s="13" customFormat="1" ht="15">
      <c r="A440" s="222">
        <v>31</v>
      </c>
      <c r="B440" s="179" t="s">
        <v>7</v>
      </c>
      <c r="C440" s="218">
        <f>SUM(C441,C444,C446)</f>
        <v>5679.51</v>
      </c>
      <c r="D440" s="218"/>
      <c r="E440" s="218"/>
      <c r="F440" s="218"/>
      <c r="G440" s="390">
        <f>F440/C440*100</f>
        <v>0</v>
      </c>
      <c r="H440" s="391" t="e">
        <f>F440/E440*100</f>
        <v>#DIV/0!</v>
      </c>
      <c r="I440" s="12"/>
      <c r="J440" s="12"/>
      <c r="K440" s="12"/>
      <c r="L440" s="12"/>
      <c r="M440" s="12"/>
      <c r="P440" s="19"/>
    </row>
    <row r="441" spans="1:16" s="13" customFormat="1" ht="15">
      <c r="A441" s="205">
        <v>311</v>
      </c>
      <c r="B441" s="166" t="s">
        <v>165</v>
      </c>
      <c r="C441" s="220">
        <f>SUM(C442)</f>
        <v>5679.51</v>
      </c>
      <c r="D441" s="220">
        <f>+D442+D443</f>
        <v>0</v>
      </c>
      <c r="E441" s="220">
        <f>+E442+E443</f>
        <v>0</v>
      </c>
      <c r="F441" s="220">
        <f>+F442+F443</f>
        <v>0</v>
      </c>
      <c r="G441" s="163">
        <f>F441/C441*100</f>
        <v>0</v>
      </c>
      <c r="H441" s="387" t="e">
        <f>F441/E441*100</f>
        <v>#DIV/0!</v>
      </c>
      <c r="I441" s="12"/>
      <c r="J441" s="12"/>
      <c r="K441" s="12"/>
      <c r="L441" s="12"/>
      <c r="M441" s="12"/>
      <c r="P441" s="19"/>
    </row>
    <row r="442" spans="1:16" s="13" customFormat="1" ht="15">
      <c r="A442" s="20">
        <v>3111</v>
      </c>
      <c r="B442" s="21" t="s">
        <v>83</v>
      </c>
      <c r="C442" s="82">
        <v>5679.51</v>
      </c>
      <c r="D442" s="124"/>
      <c r="E442" s="124"/>
      <c r="F442" s="124"/>
      <c r="G442" s="194">
        <f>F442/C442*100</f>
        <v>0</v>
      </c>
      <c r="H442" s="195" t="e">
        <f>F442/E442*100</f>
        <v>#DIV/0!</v>
      </c>
      <c r="I442" s="12"/>
      <c r="J442" s="12"/>
      <c r="K442" s="12"/>
      <c r="L442" s="12"/>
      <c r="M442" s="12"/>
      <c r="P442" s="19"/>
    </row>
    <row r="443" spans="1:13" s="19" customFormat="1" ht="15.75" customHeight="1">
      <c r="A443" s="476" t="s">
        <v>6</v>
      </c>
      <c r="B443" s="476"/>
      <c r="C443" s="241">
        <f>C440</f>
        <v>5679.51</v>
      </c>
      <c r="D443" s="241"/>
      <c r="E443" s="241"/>
      <c r="F443" s="241"/>
      <c r="G443" s="198">
        <f>F443/C443*100</f>
        <v>0</v>
      </c>
      <c r="H443" s="199" t="e">
        <f>F443/E443*100</f>
        <v>#DIV/0!</v>
      </c>
      <c r="I443" s="12"/>
      <c r="J443" s="12"/>
      <c r="K443" s="17"/>
      <c r="L443" s="17"/>
      <c r="M443" s="12"/>
    </row>
    <row r="444" spans="1:13" s="19" customFormat="1" ht="15.75" customHeight="1">
      <c r="A444" s="44"/>
      <c r="B444" s="45"/>
      <c r="C444" s="45"/>
      <c r="D444" s="45"/>
      <c r="E444" s="45"/>
      <c r="F444" s="45"/>
      <c r="G444" s="45"/>
      <c r="H444" s="29"/>
      <c r="I444" s="12"/>
      <c r="J444" s="12"/>
      <c r="K444" s="17"/>
      <c r="L444" s="17"/>
      <c r="M444" s="12"/>
    </row>
    <row r="445" spans="1:16" s="13" customFormat="1" ht="15">
      <c r="A445" s="207" t="s">
        <v>220</v>
      </c>
      <c r="B445" s="11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P445" s="19"/>
    </row>
    <row r="446" spans="1:16" ht="15">
      <c r="A446" s="468" t="s">
        <v>78</v>
      </c>
      <c r="B446" s="470" t="s">
        <v>3</v>
      </c>
      <c r="C446" s="470" t="s">
        <v>74</v>
      </c>
      <c r="D446" s="465" t="s">
        <v>169</v>
      </c>
      <c r="E446" s="465" t="s">
        <v>170</v>
      </c>
      <c r="F446" s="465" t="s">
        <v>171</v>
      </c>
      <c r="G446" s="465" t="s">
        <v>75</v>
      </c>
      <c r="H446" s="465" t="s">
        <v>75</v>
      </c>
      <c r="I446" s="23"/>
      <c r="J446" s="23"/>
      <c r="K446" s="24"/>
      <c r="L446" s="24"/>
      <c r="M446" s="23"/>
      <c r="P446" s="19"/>
    </row>
    <row r="447" spans="1:16" ht="15">
      <c r="A447" s="469"/>
      <c r="B447" s="471"/>
      <c r="C447" s="471"/>
      <c r="D447" s="466"/>
      <c r="E447" s="466"/>
      <c r="F447" s="466"/>
      <c r="G447" s="466"/>
      <c r="H447" s="466"/>
      <c r="I447" s="23"/>
      <c r="J447" s="23"/>
      <c r="K447" s="24"/>
      <c r="L447" s="24"/>
      <c r="M447" s="23"/>
      <c r="P447" s="19"/>
    </row>
    <row r="448" spans="1:16" s="13" customFormat="1" ht="15">
      <c r="A448" s="222">
        <v>31</v>
      </c>
      <c r="B448" s="179" t="s">
        <v>7</v>
      </c>
      <c r="C448" s="218">
        <f>+C449</f>
        <v>9976.35</v>
      </c>
      <c r="D448" s="218">
        <f>+D449+D457+D463</f>
        <v>0</v>
      </c>
      <c r="E448" s="218">
        <f>+E449+E457+E463</f>
        <v>0</v>
      </c>
      <c r="F448" s="218">
        <f>+F449+F457+F463</f>
        <v>0</v>
      </c>
      <c r="G448" s="390">
        <f aca="true" t="shared" si="37" ref="G448:G456">F448/C448*100</f>
        <v>0</v>
      </c>
      <c r="H448" s="391" t="e">
        <f aca="true" t="shared" si="38" ref="H448:H456">F448/E448*100</f>
        <v>#DIV/0!</v>
      </c>
      <c r="I448" s="12"/>
      <c r="J448" s="12"/>
      <c r="K448" s="12"/>
      <c r="L448" s="12"/>
      <c r="M448" s="12"/>
      <c r="P448" s="19"/>
    </row>
    <row r="449" spans="1:16" s="13" customFormat="1" ht="15">
      <c r="A449" s="205">
        <v>311</v>
      </c>
      <c r="B449" s="166" t="s">
        <v>165</v>
      </c>
      <c r="C449" s="220">
        <f>SUM(C450:C452)</f>
        <v>9976.35</v>
      </c>
      <c r="D449" s="220">
        <f>+D450+D456</f>
        <v>0</v>
      </c>
      <c r="E449" s="220">
        <f>+E450+E456</f>
        <v>0</v>
      </c>
      <c r="F449" s="220">
        <f>+F450+F456</f>
        <v>0</v>
      </c>
      <c r="G449" s="419">
        <f t="shared" si="37"/>
        <v>0</v>
      </c>
      <c r="H449" s="420" t="e">
        <f t="shared" si="38"/>
        <v>#DIV/0!</v>
      </c>
      <c r="I449" s="12"/>
      <c r="J449" s="12"/>
      <c r="K449" s="12"/>
      <c r="L449" s="12"/>
      <c r="M449" s="12"/>
      <c r="P449" s="19"/>
    </row>
    <row r="450" spans="1:16" s="13" customFormat="1" ht="15">
      <c r="A450" s="20">
        <v>3111</v>
      </c>
      <c r="B450" s="21" t="s">
        <v>83</v>
      </c>
      <c r="C450" s="82">
        <v>6071.19</v>
      </c>
      <c r="D450" s="124"/>
      <c r="E450" s="124"/>
      <c r="F450" s="124"/>
      <c r="G450" s="380">
        <f t="shared" si="37"/>
        <v>0</v>
      </c>
      <c r="H450" s="381" t="e">
        <f t="shared" si="38"/>
        <v>#DIV/0!</v>
      </c>
      <c r="I450" s="12"/>
      <c r="J450" s="12"/>
      <c r="K450" s="12"/>
      <c r="L450" s="12"/>
      <c r="M450" s="12"/>
      <c r="P450" s="19"/>
    </row>
    <row r="451" spans="1:16" s="13" customFormat="1" ht="15">
      <c r="A451" s="373">
        <v>3132</v>
      </c>
      <c r="B451" s="236" t="s">
        <v>84</v>
      </c>
      <c r="C451" s="150">
        <v>3838.58</v>
      </c>
      <c r="D451" s="325"/>
      <c r="E451" s="124"/>
      <c r="F451" s="325"/>
      <c r="G451" s="32">
        <f t="shared" si="37"/>
        <v>0</v>
      </c>
      <c r="H451" s="342" t="e">
        <f t="shared" si="38"/>
        <v>#DIV/0!</v>
      </c>
      <c r="I451" s="12"/>
      <c r="J451" s="12"/>
      <c r="K451" s="12"/>
      <c r="L451" s="12"/>
      <c r="M451" s="12"/>
      <c r="P451" s="19"/>
    </row>
    <row r="452" spans="1:16" s="13" customFormat="1" ht="30">
      <c r="A452" s="20">
        <v>3133</v>
      </c>
      <c r="B452" s="72" t="s">
        <v>85</v>
      </c>
      <c r="C452" s="83">
        <v>66.58</v>
      </c>
      <c r="D452" s="147"/>
      <c r="E452" s="147"/>
      <c r="F452" s="147"/>
      <c r="G452" s="61">
        <f t="shared" si="37"/>
        <v>0</v>
      </c>
      <c r="H452" s="64" t="e">
        <f t="shared" si="38"/>
        <v>#DIV/0!</v>
      </c>
      <c r="I452" s="12"/>
      <c r="J452" s="12"/>
      <c r="K452" s="12"/>
      <c r="L452" s="12"/>
      <c r="M452" s="12"/>
      <c r="P452" s="19"/>
    </row>
    <row r="453" spans="1:16" s="13" customFormat="1" ht="15">
      <c r="A453" s="222">
        <v>32</v>
      </c>
      <c r="B453" s="181" t="s">
        <v>11</v>
      </c>
      <c r="C453" s="226">
        <f>+C454</f>
        <v>1612.72</v>
      </c>
      <c r="D453" s="436"/>
      <c r="E453" s="436"/>
      <c r="F453" s="436"/>
      <c r="G453" s="390">
        <f t="shared" si="37"/>
        <v>0</v>
      </c>
      <c r="H453" s="391" t="e">
        <f t="shared" si="38"/>
        <v>#DIV/0!</v>
      </c>
      <c r="I453" s="12"/>
      <c r="J453" s="12"/>
      <c r="K453" s="12"/>
      <c r="L453" s="12"/>
      <c r="M453" s="12"/>
      <c r="P453" s="19"/>
    </row>
    <row r="454" spans="1:16" s="13" customFormat="1" ht="15">
      <c r="A454" s="280">
        <v>321</v>
      </c>
      <c r="B454" s="435" t="s">
        <v>12</v>
      </c>
      <c r="C454" s="231">
        <f>+C455</f>
        <v>1612.72</v>
      </c>
      <c r="D454" s="433"/>
      <c r="E454" s="433"/>
      <c r="F454" s="433"/>
      <c r="G454" s="163">
        <f t="shared" si="37"/>
        <v>0</v>
      </c>
      <c r="H454" s="387" t="e">
        <f t="shared" si="38"/>
        <v>#DIV/0!</v>
      </c>
      <c r="I454" s="12"/>
      <c r="J454" s="12"/>
      <c r="K454" s="12"/>
      <c r="L454" s="12"/>
      <c r="M454" s="12"/>
      <c r="P454" s="19"/>
    </row>
    <row r="455" spans="1:16" s="13" customFormat="1" ht="30">
      <c r="A455" s="274">
        <v>3212</v>
      </c>
      <c r="B455" s="62" t="s">
        <v>13</v>
      </c>
      <c r="C455" s="150">
        <v>1612.72</v>
      </c>
      <c r="D455" s="434"/>
      <c r="E455" s="434"/>
      <c r="F455" s="325"/>
      <c r="G455" s="194">
        <f t="shared" si="37"/>
        <v>0</v>
      </c>
      <c r="H455" s="195" t="e">
        <f t="shared" si="38"/>
        <v>#DIV/0!</v>
      </c>
      <c r="I455" s="12"/>
      <c r="J455" s="12"/>
      <c r="K455" s="12"/>
      <c r="L455" s="12"/>
      <c r="M455" s="12"/>
      <c r="P455" s="19"/>
    </row>
    <row r="456" spans="1:13" s="19" customFormat="1" ht="15.75" customHeight="1">
      <c r="A456" s="476" t="s">
        <v>6</v>
      </c>
      <c r="B456" s="476"/>
      <c r="C456" s="241">
        <f>+C448+C453</f>
        <v>11589.07</v>
      </c>
      <c r="D456" s="241"/>
      <c r="E456" s="241"/>
      <c r="F456" s="241"/>
      <c r="G456" s="185">
        <f t="shared" si="37"/>
        <v>0</v>
      </c>
      <c r="H456" s="437" t="e">
        <f t="shared" si="38"/>
        <v>#DIV/0!</v>
      </c>
      <c r="I456" s="12"/>
      <c r="J456" s="12"/>
      <c r="K456" s="17"/>
      <c r="L456" s="17"/>
      <c r="M456" s="12"/>
    </row>
    <row r="457" spans="1:13" s="19" customFormat="1" ht="23.25" customHeight="1">
      <c r="A457" s="44"/>
      <c r="B457" s="45"/>
      <c r="C457" s="45"/>
      <c r="D457" s="45"/>
      <c r="E457" s="45"/>
      <c r="F457" s="45"/>
      <c r="G457" s="45"/>
      <c r="H457" s="29"/>
      <c r="I457" s="12"/>
      <c r="J457" s="12"/>
      <c r="K457" s="17"/>
      <c r="L457" s="17"/>
      <c r="M457" s="12"/>
    </row>
    <row r="458" spans="1:16" s="13" customFormat="1" ht="15">
      <c r="A458" s="207" t="s">
        <v>221</v>
      </c>
      <c r="B458" s="11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P458" s="19"/>
    </row>
    <row r="459" spans="1:16" ht="15">
      <c r="A459" s="468" t="s">
        <v>78</v>
      </c>
      <c r="B459" s="470" t="s">
        <v>3</v>
      </c>
      <c r="C459" s="470" t="s">
        <v>74</v>
      </c>
      <c r="D459" s="465" t="s">
        <v>169</v>
      </c>
      <c r="E459" s="465" t="s">
        <v>170</v>
      </c>
      <c r="F459" s="465" t="s">
        <v>171</v>
      </c>
      <c r="G459" s="465" t="s">
        <v>75</v>
      </c>
      <c r="H459" s="465" t="s">
        <v>75</v>
      </c>
      <c r="I459" s="23"/>
      <c r="J459" s="23"/>
      <c r="K459" s="24"/>
      <c r="L459" s="24"/>
      <c r="M459" s="23"/>
      <c r="P459" s="19"/>
    </row>
    <row r="460" spans="1:16" ht="15">
      <c r="A460" s="469"/>
      <c r="B460" s="471"/>
      <c r="C460" s="471"/>
      <c r="D460" s="466"/>
      <c r="E460" s="466"/>
      <c r="F460" s="466"/>
      <c r="G460" s="466"/>
      <c r="H460" s="466"/>
      <c r="I460" s="23"/>
      <c r="J460" s="23"/>
      <c r="K460" s="24"/>
      <c r="L460" s="24"/>
      <c r="M460" s="23"/>
      <c r="P460" s="19"/>
    </row>
    <row r="461" spans="1:16" s="13" customFormat="1" ht="15">
      <c r="A461" s="222">
        <v>31</v>
      </c>
      <c r="B461" s="179" t="s">
        <v>7</v>
      </c>
      <c r="C461" s="218">
        <f>SUM(C462,C465,C476)</f>
        <v>11750.7</v>
      </c>
      <c r="D461" s="218">
        <f>+D462+D465+D476</f>
        <v>0</v>
      </c>
      <c r="E461" s="218">
        <f>+E462+E465+E476</f>
        <v>0</v>
      </c>
      <c r="F461" s="218">
        <f>+F462+F465+F476</f>
        <v>0</v>
      </c>
      <c r="G461" s="390">
        <f>F461/C461*100</f>
        <v>0</v>
      </c>
      <c r="H461" s="391" t="e">
        <f>F461/E461*100</f>
        <v>#DIV/0!</v>
      </c>
      <c r="I461" s="12"/>
      <c r="J461" s="12"/>
      <c r="K461" s="12"/>
      <c r="L461" s="12"/>
      <c r="M461" s="12"/>
      <c r="P461" s="19"/>
    </row>
    <row r="462" spans="1:16" s="13" customFormat="1" ht="15">
      <c r="A462" s="205">
        <v>311</v>
      </c>
      <c r="B462" s="166" t="s">
        <v>165</v>
      </c>
      <c r="C462" s="220">
        <f>SUM(C463)</f>
        <v>11750.7</v>
      </c>
      <c r="D462" s="220">
        <f>+D463+D464</f>
        <v>0</v>
      </c>
      <c r="E462" s="220">
        <f>+E463+E464</f>
        <v>0</v>
      </c>
      <c r="F462" s="220">
        <f>+F463+F464</f>
        <v>0</v>
      </c>
      <c r="G462" s="163">
        <f>F462/C462*100</f>
        <v>0</v>
      </c>
      <c r="H462" s="387" t="e">
        <f>F462/E462*100</f>
        <v>#DIV/0!</v>
      </c>
      <c r="I462" s="12"/>
      <c r="J462" s="12"/>
      <c r="K462" s="12"/>
      <c r="L462" s="12"/>
      <c r="M462" s="12"/>
      <c r="P462" s="19"/>
    </row>
    <row r="463" spans="1:16" s="13" customFormat="1" ht="15">
      <c r="A463" s="20">
        <v>3111</v>
      </c>
      <c r="B463" s="21" t="s">
        <v>83</v>
      </c>
      <c r="C463" s="82">
        <v>11750.7</v>
      </c>
      <c r="D463" s="124"/>
      <c r="E463" s="124"/>
      <c r="F463" s="124"/>
      <c r="G463" s="194">
        <f>F463/C463*100</f>
        <v>0</v>
      </c>
      <c r="H463" s="195" t="e">
        <f>F463/E463*100</f>
        <v>#DIV/0!</v>
      </c>
      <c r="I463" s="12"/>
      <c r="J463" s="12"/>
      <c r="K463" s="12"/>
      <c r="L463" s="12"/>
      <c r="M463" s="12"/>
      <c r="P463" s="19"/>
    </row>
    <row r="464" spans="1:13" s="19" customFormat="1" ht="15.75" customHeight="1">
      <c r="A464" s="476" t="s">
        <v>6</v>
      </c>
      <c r="B464" s="476"/>
      <c r="C464" s="241">
        <f>C461</f>
        <v>11750.7</v>
      </c>
      <c r="D464" s="241"/>
      <c r="E464" s="241"/>
      <c r="F464" s="241"/>
      <c r="G464" s="198">
        <f>F464/C464*100</f>
        <v>0</v>
      </c>
      <c r="H464" s="199" t="e">
        <f>F464/E464*100</f>
        <v>#DIV/0!</v>
      </c>
      <c r="I464" s="12"/>
      <c r="J464" s="12"/>
      <c r="K464" s="17"/>
      <c r="L464" s="17"/>
      <c r="M464" s="12"/>
    </row>
    <row r="465" spans="1:13" s="19" customFormat="1" ht="15.75" customHeight="1">
      <c r="A465" s="44"/>
      <c r="B465" s="45"/>
      <c r="C465" s="45"/>
      <c r="D465" s="45"/>
      <c r="E465" s="45"/>
      <c r="F465" s="45"/>
      <c r="G465" s="45"/>
      <c r="H465" s="29"/>
      <c r="I465" s="12"/>
      <c r="J465" s="12"/>
      <c r="K465" s="17"/>
      <c r="L465" s="17"/>
      <c r="M465" s="12"/>
    </row>
    <row r="466" spans="1:13" s="19" customFormat="1" ht="15.75" customHeight="1">
      <c r="A466" s="479" t="s">
        <v>222</v>
      </c>
      <c r="B466" s="479"/>
      <c r="C466" s="479"/>
      <c r="D466" s="479"/>
      <c r="E466" s="45"/>
      <c r="F466" s="45"/>
      <c r="G466" s="45"/>
      <c r="H466" s="29"/>
      <c r="I466" s="12"/>
      <c r="J466" s="12"/>
      <c r="K466" s="17"/>
      <c r="L466" s="17"/>
      <c r="M466" s="12"/>
    </row>
    <row r="467" spans="1:16" s="13" customFormat="1" ht="18" customHeight="1">
      <c r="A467" s="207" t="s">
        <v>223</v>
      </c>
      <c r="B467" s="11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P467" s="19"/>
    </row>
    <row r="468" spans="1:15" ht="19.5" customHeight="1">
      <c r="A468" s="468" t="s">
        <v>78</v>
      </c>
      <c r="B468" s="470" t="s">
        <v>3</v>
      </c>
      <c r="C468" s="470" t="s">
        <v>74</v>
      </c>
      <c r="D468" s="465" t="s">
        <v>169</v>
      </c>
      <c r="E468" s="465" t="s">
        <v>170</v>
      </c>
      <c r="F468" s="465" t="s">
        <v>171</v>
      </c>
      <c r="G468" s="465" t="s">
        <v>75</v>
      </c>
      <c r="H468" s="465" t="s">
        <v>75</v>
      </c>
      <c r="I468" s="39"/>
      <c r="J468" s="39"/>
      <c r="K468" s="39"/>
      <c r="L468" s="39"/>
      <c r="M468" s="39"/>
      <c r="N468" s="33"/>
      <c r="O468" s="33"/>
    </row>
    <row r="469" spans="1:15" ht="27.75" customHeight="1">
      <c r="A469" s="469"/>
      <c r="B469" s="471"/>
      <c r="C469" s="471"/>
      <c r="D469" s="466"/>
      <c r="E469" s="466"/>
      <c r="F469" s="466"/>
      <c r="G469" s="466"/>
      <c r="H469" s="466"/>
      <c r="I469" s="39"/>
      <c r="J469" s="39"/>
      <c r="K469" s="39"/>
      <c r="L469" s="39"/>
      <c r="M469" s="39"/>
      <c r="N469" s="33"/>
      <c r="O469" s="33"/>
    </row>
    <row r="470" spans="1:13" s="19" customFormat="1" ht="36" customHeight="1">
      <c r="A470" s="222">
        <v>42</v>
      </c>
      <c r="B470" s="179" t="s">
        <v>22</v>
      </c>
      <c r="C470" s="330">
        <f>+C471</f>
        <v>125000</v>
      </c>
      <c r="D470" s="459"/>
      <c r="E470" s="459"/>
      <c r="F470" s="330"/>
      <c r="G470" s="390">
        <f>F470/C470*100</f>
        <v>0</v>
      </c>
      <c r="H470" s="391" t="e">
        <f>F470/E470*100</f>
        <v>#DIV/0!</v>
      </c>
      <c r="I470" s="12"/>
      <c r="J470" s="12"/>
      <c r="K470" s="17"/>
      <c r="L470" s="17"/>
      <c r="M470" s="12"/>
    </row>
    <row r="471" spans="1:13" s="19" customFormat="1" ht="15.75" customHeight="1">
      <c r="A471" s="458">
        <v>426</v>
      </c>
      <c r="B471" s="329" t="s">
        <v>194</v>
      </c>
      <c r="C471" s="438">
        <f>+C472</f>
        <v>125000</v>
      </c>
      <c r="D471" s="438"/>
      <c r="E471" s="438"/>
      <c r="F471" s="438"/>
      <c r="G471" s="163">
        <f>F471/C471*100</f>
        <v>0</v>
      </c>
      <c r="H471" s="387" t="e">
        <f>F471/E471*100</f>
        <v>#DIV/0!</v>
      </c>
      <c r="I471" s="12"/>
      <c r="J471" s="12"/>
      <c r="K471" s="17"/>
      <c r="L471" s="17"/>
      <c r="M471" s="12"/>
    </row>
    <row r="472" spans="1:13" s="19" customFormat="1" ht="15.75" customHeight="1">
      <c r="A472" s="461">
        <v>4264</v>
      </c>
      <c r="B472" s="439" t="s">
        <v>224</v>
      </c>
      <c r="C472" s="328">
        <v>125000</v>
      </c>
      <c r="D472" s="440"/>
      <c r="E472" s="440"/>
      <c r="F472" s="327"/>
      <c r="G472" s="194">
        <f>F472/C472*100</f>
        <v>0</v>
      </c>
      <c r="H472" s="195" t="e">
        <f>F472/E472*100</f>
        <v>#DIV/0!</v>
      </c>
      <c r="I472" s="12"/>
      <c r="J472" s="12"/>
      <c r="K472" s="17"/>
      <c r="L472" s="17"/>
      <c r="M472" s="12"/>
    </row>
    <row r="473" spans="1:13" s="19" customFormat="1" ht="15.75" customHeight="1">
      <c r="A473" s="476" t="s">
        <v>6</v>
      </c>
      <c r="B473" s="476"/>
      <c r="C473" s="241">
        <f>C470</f>
        <v>125000</v>
      </c>
      <c r="D473" s="241"/>
      <c r="E473" s="241"/>
      <c r="F473" s="241"/>
      <c r="G473" s="198">
        <f>F473/C473*100</f>
        <v>0</v>
      </c>
      <c r="H473" s="199" t="e">
        <f>F473/E473*100</f>
        <v>#DIV/0!</v>
      </c>
      <c r="I473" s="12"/>
      <c r="J473" s="12"/>
      <c r="K473" s="17"/>
      <c r="L473" s="17"/>
      <c r="M473" s="12"/>
    </row>
    <row r="474" spans="1:13" s="19" customFormat="1" ht="15.75" customHeight="1">
      <c r="A474" s="44"/>
      <c r="B474" s="45"/>
      <c r="C474" s="45"/>
      <c r="D474" s="45"/>
      <c r="E474" s="45"/>
      <c r="F474" s="45"/>
      <c r="G474" s="45"/>
      <c r="H474" s="29"/>
      <c r="I474" s="12"/>
      <c r="J474" s="12"/>
      <c r="K474" s="17"/>
      <c r="L474" s="17"/>
      <c r="M474" s="12"/>
    </row>
    <row r="475" spans="1:13" s="19" customFormat="1" ht="15.75" customHeight="1">
      <c r="A475" s="44"/>
      <c r="B475" s="45"/>
      <c r="C475" s="45"/>
      <c r="D475" s="45"/>
      <c r="E475" s="45"/>
      <c r="F475" s="45"/>
      <c r="G475" s="45"/>
      <c r="H475" s="29"/>
      <c r="I475" s="12"/>
      <c r="J475" s="12"/>
      <c r="K475" s="17"/>
      <c r="L475" s="17"/>
      <c r="M475" s="12"/>
    </row>
    <row r="476" spans="1:16" ht="19.5" customHeight="1">
      <c r="A476" s="479" t="s">
        <v>204</v>
      </c>
      <c r="B476" s="479"/>
      <c r="C476" s="479"/>
      <c r="D476" s="479"/>
      <c r="E476" s="71"/>
      <c r="F476" s="71"/>
      <c r="G476" s="71"/>
      <c r="H476" s="28"/>
      <c r="I476" s="23"/>
      <c r="J476" s="23"/>
      <c r="K476" s="24"/>
      <c r="L476" s="24"/>
      <c r="M476" s="23"/>
      <c r="N476" s="3">
        <v>0</v>
      </c>
      <c r="O476" s="3">
        <v>0</v>
      </c>
      <c r="P476" s="19"/>
    </row>
    <row r="477" spans="1:16" s="13" customFormat="1" ht="18" customHeight="1">
      <c r="A477" s="13" t="s">
        <v>80</v>
      </c>
      <c r="B477" s="11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P477" s="19"/>
    </row>
    <row r="478" spans="1:15" ht="19.5" customHeight="1">
      <c r="A478" s="468" t="s">
        <v>78</v>
      </c>
      <c r="B478" s="470" t="s">
        <v>3</v>
      </c>
      <c r="C478" s="470" t="s">
        <v>74</v>
      </c>
      <c r="D478" s="465" t="s">
        <v>169</v>
      </c>
      <c r="E478" s="465" t="s">
        <v>170</v>
      </c>
      <c r="F478" s="465" t="s">
        <v>171</v>
      </c>
      <c r="G478" s="465" t="s">
        <v>75</v>
      </c>
      <c r="H478" s="465" t="s">
        <v>75</v>
      </c>
      <c r="I478" s="39"/>
      <c r="J478" s="39"/>
      <c r="K478" s="39"/>
      <c r="L478" s="39"/>
      <c r="M478" s="39"/>
      <c r="N478" s="33"/>
      <c r="O478" s="33"/>
    </row>
    <row r="479" spans="1:15" ht="27.75" customHeight="1">
      <c r="A479" s="469"/>
      <c r="B479" s="471"/>
      <c r="C479" s="471"/>
      <c r="D479" s="466"/>
      <c r="E479" s="466"/>
      <c r="F479" s="466"/>
      <c r="G479" s="466"/>
      <c r="H479" s="466"/>
      <c r="I479" s="39"/>
      <c r="J479" s="39"/>
      <c r="K479" s="39"/>
      <c r="L479" s="39"/>
      <c r="M479" s="39"/>
      <c r="N479" s="33"/>
      <c r="O479" s="33"/>
    </row>
    <row r="480" spans="1:15" ht="15">
      <c r="A480" s="473">
        <v>1</v>
      </c>
      <c r="B480" s="473"/>
      <c r="C480" s="73">
        <v>2</v>
      </c>
      <c r="D480" s="74">
        <v>3</v>
      </c>
      <c r="E480" s="74">
        <v>4</v>
      </c>
      <c r="F480" s="74">
        <v>5</v>
      </c>
      <c r="G480" s="74" t="s">
        <v>76</v>
      </c>
      <c r="H480" s="74" t="s">
        <v>77</v>
      </c>
      <c r="I480" s="39"/>
      <c r="J480" s="39"/>
      <c r="K480" s="39"/>
      <c r="L480" s="39"/>
      <c r="M480" s="39"/>
      <c r="N480" s="33"/>
      <c r="O480" s="33"/>
    </row>
    <row r="481" spans="1:14" s="13" customFormat="1" ht="15">
      <c r="A481" s="202">
        <v>32</v>
      </c>
      <c r="B481" s="181" t="s">
        <v>11</v>
      </c>
      <c r="C481" s="233">
        <f>SUM(C482)</f>
        <v>0</v>
      </c>
      <c r="D481" s="233">
        <f>SUM(D482)</f>
        <v>0</v>
      </c>
      <c r="E481" s="233">
        <f>SUM(E482)</f>
        <v>5000</v>
      </c>
      <c r="F481" s="233">
        <f>SUM(F482)</f>
        <v>5000</v>
      </c>
      <c r="G481" s="390" t="e">
        <f>F481/C481*100</f>
        <v>#DIV/0!</v>
      </c>
      <c r="H481" s="391">
        <f>F481/E481*100</f>
        <v>100</v>
      </c>
      <c r="I481" s="12"/>
      <c r="J481" s="12"/>
      <c r="K481" s="12"/>
      <c r="N481" s="19"/>
    </row>
    <row r="482" spans="1:14" s="41" customFormat="1" ht="15">
      <c r="A482" s="227">
        <v>322</v>
      </c>
      <c r="B482" s="228" t="s">
        <v>14</v>
      </c>
      <c r="C482" s="234">
        <f>SUM(C483)</f>
        <v>0</v>
      </c>
      <c r="D482" s="234">
        <f>+D483+D484</f>
        <v>0</v>
      </c>
      <c r="E482" s="234">
        <f>+E483+E484</f>
        <v>5000</v>
      </c>
      <c r="F482" s="234">
        <f>+F483+F484</f>
        <v>5000</v>
      </c>
      <c r="G482" s="169" t="e">
        <f>F482/C482*100</f>
        <v>#DIV/0!</v>
      </c>
      <c r="H482" s="367">
        <f>F482/E482*100</f>
        <v>100</v>
      </c>
      <c r="I482" s="23"/>
      <c r="J482" s="23"/>
      <c r="K482" s="23"/>
      <c r="N482" s="3"/>
    </row>
    <row r="483" spans="1:14" s="13" customFormat="1" ht="15">
      <c r="A483" s="235">
        <v>3221</v>
      </c>
      <c r="B483" s="236" t="s">
        <v>15</v>
      </c>
      <c r="C483" s="237"/>
      <c r="D483" s="238"/>
      <c r="E483" s="238">
        <v>625</v>
      </c>
      <c r="F483" s="110">
        <v>625</v>
      </c>
      <c r="G483" s="110" t="e">
        <f>F483/C483*100</f>
        <v>#DIV/0!</v>
      </c>
      <c r="H483" s="407">
        <f>F483/E483*100</f>
        <v>100</v>
      </c>
      <c r="I483" s="12"/>
      <c r="J483" s="12"/>
      <c r="K483" s="12"/>
      <c r="N483" s="19"/>
    </row>
    <row r="484" spans="1:14" s="41" customFormat="1" ht="15">
      <c r="A484" s="65">
        <v>3225</v>
      </c>
      <c r="B484" s="62" t="s">
        <v>132</v>
      </c>
      <c r="C484" s="131"/>
      <c r="D484" s="87"/>
      <c r="E484" s="87">
        <v>4375</v>
      </c>
      <c r="F484" s="63">
        <v>4375</v>
      </c>
      <c r="G484" s="194" t="e">
        <f>F484/C484*100</f>
        <v>#DIV/0!</v>
      </c>
      <c r="H484" s="195">
        <f>F484/E484*100</f>
        <v>100</v>
      </c>
      <c r="I484" s="23"/>
      <c r="J484" s="23"/>
      <c r="K484" s="23"/>
      <c r="N484" s="3"/>
    </row>
    <row r="485" spans="1:14" s="13" customFormat="1" ht="15">
      <c r="A485" s="505" t="s">
        <v>6</v>
      </c>
      <c r="B485" s="506"/>
      <c r="C485" s="232">
        <f>+C482</f>
        <v>0</v>
      </c>
      <c r="D485" s="232">
        <f>+D482</f>
        <v>0</v>
      </c>
      <c r="E485" s="232">
        <f>+E482</f>
        <v>5000</v>
      </c>
      <c r="F485" s="232">
        <f>+F482</f>
        <v>5000</v>
      </c>
      <c r="G485" s="198" t="e">
        <f>F485/C485*100</f>
        <v>#DIV/0!</v>
      </c>
      <c r="H485" s="199">
        <f>F485/E485*100</f>
        <v>100</v>
      </c>
      <c r="I485" s="12"/>
      <c r="J485" s="12"/>
      <c r="K485" s="12"/>
      <c r="N485" s="19"/>
    </row>
    <row r="486" spans="1:16" s="13" customFormat="1" ht="15">
      <c r="A486" s="271"/>
      <c r="B486" s="271"/>
      <c r="C486" s="279"/>
      <c r="D486" s="279"/>
      <c r="E486" s="279"/>
      <c r="F486" s="279"/>
      <c r="G486" s="430"/>
      <c r="H486" s="430"/>
      <c r="I486" s="12"/>
      <c r="J486" s="12"/>
      <c r="K486" s="12"/>
      <c r="L486" s="12"/>
      <c r="M486" s="12"/>
      <c r="P486" s="19"/>
    </row>
    <row r="487" spans="1:8" ht="18.75" customHeight="1">
      <c r="A487" s="35"/>
      <c r="B487" s="35"/>
      <c r="C487" s="35"/>
      <c r="D487" s="34"/>
      <c r="E487" s="34"/>
      <c r="F487" s="34"/>
      <c r="G487" s="12"/>
      <c r="H487" s="449"/>
    </row>
    <row r="488" spans="1:8" ht="19.5">
      <c r="A488" s="514" t="s">
        <v>56</v>
      </c>
      <c r="B488" s="514"/>
      <c r="C488" s="242">
        <f>+C473+C464+C456+C443+C430+C421+C412+C403+C388+C375+C366+C355+C344+C335+C318+C308+C274+C264+C223+C214+C188+C142</f>
        <v>14539300.08</v>
      </c>
      <c r="D488" s="242">
        <f>+D485+D430+D421+D412+D403+D388+D375+D366+D355+D344+D335+D318+D308+D274+D264+D223+D214+D188+D142</f>
        <v>14052229.659999998</v>
      </c>
      <c r="E488" s="242">
        <f>+E485+E430+E421+E412+E403+E388+E375+E366+E355+E344+E335+E318+E308+E274+E264+E223+E214+E188+E142</f>
        <v>14076917.62</v>
      </c>
      <c r="F488" s="242">
        <f>+F485+F430+F421+F412+F403+F388+F375+F366+F355+F344+F335+F318+F308+F274+F264+F223+F214+F188+F142</f>
        <v>14605454.12</v>
      </c>
      <c r="G488" s="185">
        <f>F488/C488*100</f>
        <v>100.45500154502622</v>
      </c>
      <c r="H488" s="185">
        <f>F488/E488*100</f>
        <v>103.7546323298012</v>
      </c>
    </row>
    <row r="489" spans="1:8" ht="19.5">
      <c r="A489" s="460"/>
      <c r="B489" s="460"/>
      <c r="C489" s="47"/>
      <c r="D489" s="47"/>
      <c r="E489" s="47"/>
      <c r="F489" s="47"/>
      <c r="G489" s="17"/>
      <c r="H489" s="17"/>
    </row>
    <row r="490" spans="1:8" ht="19.5">
      <c r="A490" s="67"/>
      <c r="B490" s="67"/>
      <c r="C490" s="67"/>
      <c r="D490" s="67"/>
      <c r="E490" s="67"/>
      <c r="F490" s="67"/>
      <c r="G490" s="67"/>
      <c r="H490" s="67"/>
    </row>
    <row r="491" spans="1:16" s="13" customFormat="1" ht="15">
      <c r="A491" s="271"/>
      <c r="B491" s="271"/>
      <c r="C491" s="279"/>
      <c r="D491" s="279"/>
      <c r="E491" s="279"/>
      <c r="F491" s="279"/>
      <c r="G491" s="17"/>
      <c r="H491" s="17"/>
      <c r="I491" s="12"/>
      <c r="J491" s="12"/>
      <c r="K491" s="12"/>
      <c r="L491" s="12"/>
      <c r="M491" s="12"/>
      <c r="P491" s="19"/>
    </row>
    <row r="492" spans="1:16" s="13" customFormat="1" ht="15">
      <c r="A492" s="271"/>
      <c r="B492" s="271"/>
      <c r="C492" s="279"/>
      <c r="D492" s="279"/>
      <c r="E492" s="279"/>
      <c r="F492" s="279"/>
      <c r="G492" s="17"/>
      <c r="H492" s="17"/>
      <c r="I492" s="12"/>
      <c r="J492" s="12"/>
      <c r="K492" s="12"/>
      <c r="L492" s="12"/>
      <c r="M492" s="12"/>
      <c r="P492" s="19"/>
    </row>
    <row r="493" spans="1:7" ht="20.25">
      <c r="A493" s="517" t="s">
        <v>24</v>
      </c>
      <c r="B493" s="517"/>
      <c r="C493" s="517"/>
      <c r="D493" s="517"/>
      <c r="E493" s="517"/>
      <c r="F493" s="517"/>
      <c r="G493" s="517"/>
    </row>
    <row r="494" spans="4:7" ht="15">
      <c r="D494" s="40"/>
      <c r="E494" s="40"/>
      <c r="F494" s="40"/>
      <c r="G494" s="40"/>
    </row>
    <row r="495" spans="1:8" ht="15" customHeight="1">
      <c r="A495" s="468" t="s">
        <v>78</v>
      </c>
      <c r="B495" s="470" t="s">
        <v>3</v>
      </c>
      <c r="C495" s="470" t="s">
        <v>74</v>
      </c>
      <c r="D495" s="465" t="s">
        <v>169</v>
      </c>
      <c r="E495" s="465" t="s">
        <v>170</v>
      </c>
      <c r="F495" s="465" t="s">
        <v>171</v>
      </c>
      <c r="G495" s="465" t="s">
        <v>75</v>
      </c>
      <c r="H495" s="465" t="s">
        <v>75</v>
      </c>
    </row>
    <row r="496" spans="1:8" ht="38.25" customHeight="1">
      <c r="A496" s="469"/>
      <c r="B496" s="471"/>
      <c r="C496" s="471"/>
      <c r="D496" s="466"/>
      <c r="E496" s="466"/>
      <c r="F496" s="466"/>
      <c r="G496" s="466"/>
      <c r="H496" s="466"/>
    </row>
    <row r="497" spans="1:8" ht="15">
      <c r="A497" s="473">
        <v>1</v>
      </c>
      <c r="B497" s="473"/>
      <c r="C497" s="73">
        <v>2</v>
      </c>
      <c r="D497" s="74">
        <v>3</v>
      </c>
      <c r="E497" s="74">
        <v>4</v>
      </c>
      <c r="F497" s="74">
        <v>5</v>
      </c>
      <c r="G497" s="74" t="s">
        <v>76</v>
      </c>
      <c r="H497" s="74" t="s">
        <v>77</v>
      </c>
    </row>
    <row r="498" spans="1:8" ht="15">
      <c r="A498" s="137">
        <v>1</v>
      </c>
      <c r="B498" s="129" t="s">
        <v>0</v>
      </c>
      <c r="C498" s="61">
        <f>+C485+C188+C142+C443+C456+C464+C473</f>
        <v>1179843.29</v>
      </c>
      <c r="D498" s="61">
        <f>+D485+D188+D142</f>
        <v>1003291.6799999999</v>
      </c>
      <c r="E498" s="61">
        <f>+E485+E188+E142</f>
        <v>1027979.64</v>
      </c>
      <c r="F498" s="61">
        <f>+F485+F188+F142</f>
        <v>1023702.74</v>
      </c>
      <c r="G498" s="160">
        <f>F498/C498*100</f>
        <v>86.76599245650665</v>
      </c>
      <c r="H498" s="161">
        <f>F498/E498*100</f>
        <v>99.58395090393036</v>
      </c>
    </row>
    <row r="499" spans="1:8" ht="15">
      <c r="A499" s="138">
        <v>3</v>
      </c>
      <c r="B499" s="122" t="s">
        <v>25</v>
      </c>
      <c r="C499" s="32">
        <f>+C355+C214</f>
        <v>49777.73</v>
      </c>
      <c r="D499" s="32">
        <f>+D355+D214-1</f>
        <v>23717</v>
      </c>
      <c r="E499" s="32">
        <f>+E355+E214-1</f>
        <v>23717</v>
      </c>
      <c r="F499" s="32">
        <f>+F355+F214-1</f>
        <v>19252.739999999998</v>
      </c>
      <c r="G499" s="32">
        <f aca="true" t="shared" si="39" ref="G499:G509">F499/C499*100</f>
        <v>38.67741658769895</v>
      </c>
      <c r="H499" s="342">
        <f aca="true" t="shared" si="40" ref="H499:H509">F499/E499*100</f>
        <v>81.17696167306151</v>
      </c>
    </row>
    <row r="500" spans="1:8" ht="15">
      <c r="A500" s="138">
        <v>93</v>
      </c>
      <c r="B500" s="122" t="s">
        <v>31</v>
      </c>
      <c r="C500" s="32">
        <f>+C223</f>
        <v>4857.9</v>
      </c>
      <c r="D500" s="32">
        <f>+D223</f>
        <v>90.44</v>
      </c>
      <c r="E500" s="32">
        <f>+E223</f>
        <v>90.44</v>
      </c>
      <c r="F500" s="32">
        <f>+F223</f>
        <v>90.44</v>
      </c>
      <c r="G500" s="32">
        <f t="shared" si="39"/>
        <v>1.861709792297083</v>
      </c>
      <c r="H500" s="342">
        <f t="shared" si="40"/>
        <v>100</v>
      </c>
    </row>
    <row r="501" spans="1:8" ht="15">
      <c r="A501" s="138">
        <v>4</v>
      </c>
      <c r="B501" s="122" t="s">
        <v>1</v>
      </c>
      <c r="C501" s="32">
        <f>+C366+C264</f>
        <v>202213.02</v>
      </c>
      <c r="D501" s="32">
        <f>+D366+D264</f>
        <v>158000</v>
      </c>
      <c r="E501" s="32">
        <f>+E366+E264</f>
        <v>158000</v>
      </c>
      <c r="F501" s="32">
        <f>+F366+F264-1</f>
        <v>46339.69</v>
      </c>
      <c r="G501" s="32">
        <f t="shared" si="39"/>
        <v>22.91627413506806</v>
      </c>
      <c r="H501" s="342">
        <f t="shared" si="40"/>
        <v>29.328917721518987</v>
      </c>
    </row>
    <row r="502" spans="1:8" ht="15">
      <c r="A502" s="138">
        <v>94</v>
      </c>
      <c r="B502" s="122" t="s">
        <v>32</v>
      </c>
      <c r="C502" s="32">
        <f>+C375+C274</f>
        <v>8192.54</v>
      </c>
      <c r="D502" s="32">
        <f>+D375+D274</f>
        <v>24874.09</v>
      </c>
      <c r="E502" s="32">
        <f>+E375+E274</f>
        <v>24874.09</v>
      </c>
      <c r="F502" s="32">
        <f>+F375+F274</f>
        <v>24874.09</v>
      </c>
      <c r="G502" s="32">
        <f t="shared" si="39"/>
        <v>303.61878001205974</v>
      </c>
      <c r="H502" s="342">
        <f t="shared" si="40"/>
        <v>100</v>
      </c>
    </row>
    <row r="503" spans="1:8" s="13" customFormat="1" ht="15">
      <c r="A503" s="138">
        <v>5</v>
      </c>
      <c r="B503" s="122" t="s">
        <v>26</v>
      </c>
      <c r="C503" s="32">
        <f>+C388+C308</f>
        <v>12782010.29</v>
      </c>
      <c r="D503" s="32">
        <f>+D388+D308</f>
        <v>12756904.5</v>
      </c>
      <c r="E503" s="32">
        <f>+E388+E308-1</f>
        <v>12756903.5</v>
      </c>
      <c r="F503" s="32">
        <f>+F388+F308-1</f>
        <v>13408822</v>
      </c>
      <c r="G503" s="32">
        <f t="shared" si="39"/>
        <v>104.90385859327924</v>
      </c>
      <c r="H503" s="342">
        <f t="shared" si="40"/>
        <v>105.11031928712167</v>
      </c>
    </row>
    <row r="504" spans="1:8" ht="15">
      <c r="A504" s="139">
        <v>95</v>
      </c>
      <c r="B504" s="136" t="s">
        <v>70</v>
      </c>
      <c r="C504" s="136">
        <f>+C403+C318</f>
        <v>308329.31</v>
      </c>
      <c r="D504" s="136">
        <f>+D403+D318-1</f>
        <v>70342.35</v>
      </c>
      <c r="E504" s="136">
        <f>+E403+E318-1</f>
        <v>70342.35</v>
      </c>
      <c r="F504" s="136">
        <f>+F403+F318-1</f>
        <v>67696.82</v>
      </c>
      <c r="G504" s="32">
        <f t="shared" si="39"/>
        <v>21.956011901690438</v>
      </c>
      <c r="H504" s="342">
        <f t="shared" si="40"/>
        <v>96.23906508667964</v>
      </c>
    </row>
    <row r="505" spans="1:8" ht="15">
      <c r="A505" s="138">
        <v>6</v>
      </c>
      <c r="B505" s="122" t="s">
        <v>205</v>
      </c>
      <c r="C505" s="122">
        <f>+C412+C335</f>
        <v>4076</v>
      </c>
      <c r="D505" s="122">
        <f>+D412+D335-1</f>
        <v>12493</v>
      </c>
      <c r="E505" s="122">
        <f>+E412+E335-1</f>
        <v>12493</v>
      </c>
      <c r="F505" s="122">
        <f>+F412+F335-1</f>
        <v>12493</v>
      </c>
      <c r="G505" s="32">
        <f>F505/C505*100</f>
        <v>306.50147203140335</v>
      </c>
      <c r="H505" s="342">
        <f>F505/E505*100</f>
        <v>100</v>
      </c>
    </row>
    <row r="506" spans="1:8" ht="15">
      <c r="A506" s="138">
        <v>96</v>
      </c>
      <c r="B506" s="122" t="s">
        <v>206</v>
      </c>
      <c r="C506" s="122">
        <f>+C344</f>
        <v>0</v>
      </c>
      <c r="D506" s="122">
        <f>+D344</f>
        <v>170</v>
      </c>
      <c r="E506" s="122">
        <f>+E344</f>
        <v>170</v>
      </c>
      <c r="F506" s="122">
        <f>+F344</f>
        <v>170</v>
      </c>
      <c r="G506" s="32" t="e">
        <f>F506/C506*100</f>
        <v>#DIV/0!</v>
      </c>
      <c r="H506" s="342">
        <f>F506/E506*100</f>
        <v>100</v>
      </c>
    </row>
    <row r="507" spans="1:8" ht="30">
      <c r="A507" s="444">
        <v>7</v>
      </c>
      <c r="B507" s="441" t="s">
        <v>207</v>
      </c>
      <c r="C507" s="122">
        <f>+C421</f>
        <v>0</v>
      </c>
      <c r="D507" s="122">
        <f>+D421</f>
        <v>1465.8</v>
      </c>
      <c r="E507" s="122">
        <f>+E421</f>
        <v>1465.8</v>
      </c>
      <c r="F507" s="122">
        <f>+F421</f>
        <v>1129.8</v>
      </c>
      <c r="G507" s="32" t="e">
        <f>F507/C507*100</f>
        <v>#DIV/0!</v>
      </c>
      <c r="H507" s="342">
        <f>F507/E507*100</f>
        <v>77.07736389684814</v>
      </c>
    </row>
    <row r="508" spans="1:8" ht="45">
      <c r="A508" s="296">
        <v>97</v>
      </c>
      <c r="B508" s="442" t="s">
        <v>208</v>
      </c>
      <c r="C508" s="443">
        <f>+C430</f>
        <v>0</v>
      </c>
      <c r="D508" s="443">
        <f>+D430</f>
        <v>877.8</v>
      </c>
      <c r="E508" s="443">
        <f>+E430</f>
        <v>877.8</v>
      </c>
      <c r="F508" s="34">
        <f>+F430</f>
        <v>877.8</v>
      </c>
      <c r="G508" s="194" t="e">
        <f>F508/C508*100</f>
        <v>#DIV/0!</v>
      </c>
      <c r="H508" s="195">
        <f>F508/E508*100</f>
        <v>100</v>
      </c>
    </row>
    <row r="509" spans="1:8" ht="15">
      <c r="A509" s="518" t="s">
        <v>118</v>
      </c>
      <c r="B509" s="519"/>
      <c r="C509" s="105">
        <f>SUM(C498:C508)</f>
        <v>14539300.08</v>
      </c>
      <c r="D509" s="105">
        <f>SUM(D497:D508)</f>
        <v>14052229.660000002</v>
      </c>
      <c r="E509" s="105">
        <f>SUM(E497:E508)</f>
        <v>14076917.620000001</v>
      </c>
      <c r="F509" s="105">
        <f>SUM(F497:F508)</f>
        <v>14605454.120000001</v>
      </c>
      <c r="G509" s="194">
        <f t="shared" si="39"/>
        <v>100.45500154502625</v>
      </c>
      <c r="H509" s="195">
        <f t="shared" si="40"/>
        <v>103.75463232980118</v>
      </c>
    </row>
    <row r="510" spans="3:6" ht="15">
      <c r="C510" s="92"/>
      <c r="D510" s="92"/>
      <c r="E510" s="92"/>
      <c r="F510" s="92"/>
    </row>
    <row r="511" spans="1:8" ht="20.25">
      <c r="A511" s="483" t="s">
        <v>120</v>
      </c>
      <c r="B511" s="483"/>
      <c r="C511" s="483"/>
      <c r="D511" s="483"/>
      <c r="E511" s="483"/>
      <c r="F511" s="483"/>
      <c r="G511" s="483"/>
      <c r="H511" s="483"/>
    </row>
    <row r="512" spans="1:8" ht="19.5">
      <c r="A512" s="143"/>
      <c r="B512" s="144"/>
      <c r="C512" s="145"/>
      <c r="D512" s="145"/>
      <c r="E512" s="145"/>
      <c r="F512" s="67"/>
      <c r="G512" s="67"/>
      <c r="H512" s="67"/>
    </row>
    <row r="513" spans="1:8" ht="19.5" customHeight="1">
      <c r="A513" s="486" t="s">
        <v>121</v>
      </c>
      <c r="B513" s="486"/>
      <c r="C513" s="486"/>
      <c r="D513" s="486"/>
      <c r="E513" s="486"/>
      <c r="F513" s="67"/>
      <c r="G513" s="67"/>
      <c r="H513" s="67"/>
    </row>
    <row r="514" spans="1:8" ht="19.5" customHeight="1">
      <c r="A514" s="468" t="s">
        <v>78</v>
      </c>
      <c r="B514" s="470" t="s">
        <v>3</v>
      </c>
      <c r="C514" s="470" t="s">
        <v>74</v>
      </c>
      <c r="D514" s="465" t="s">
        <v>169</v>
      </c>
      <c r="E514" s="465" t="s">
        <v>170</v>
      </c>
      <c r="F514" s="465" t="s">
        <v>171</v>
      </c>
      <c r="G514" s="465" t="s">
        <v>75</v>
      </c>
      <c r="H514" s="465" t="s">
        <v>75</v>
      </c>
    </row>
    <row r="515" spans="1:8" ht="24" customHeight="1">
      <c r="A515" s="469"/>
      <c r="B515" s="471"/>
      <c r="C515" s="471"/>
      <c r="D515" s="466"/>
      <c r="E515" s="466"/>
      <c r="F515" s="466"/>
      <c r="G515" s="466"/>
      <c r="H515" s="466"/>
    </row>
    <row r="516" spans="1:8" ht="15">
      <c r="A516" s="473">
        <v>1</v>
      </c>
      <c r="B516" s="473"/>
      <c r="C516" s="73">
        <v>2</v>
      </c>
      <c r="D516" s="74">
        <v>3</v>
      </c>
      <c r="E516" s="74">
        <v>4</v>
      </c>
      <c r="F516" s="74">
        <v>5</v>
      </c>
      <c r="G516" s="74" t="s">
        <v>76</v>
      </c>
      <c r="H516" s="74" t="s">
        <v>77</v>
      </c>
    </row>
    <row r="517" spans="1:8" ht="15">
      <c r="A517" s="7">
        <v>922</v>
      </c>
      <c r="B517" s="8" t="s">
        <v>122</v>
      </c>
      <c r="C517" s="61">
        <f>+C518</f>
        <v>386180.88</v>
      </c>
      <c r="D517" s="61"/>
      <c r="E517" s="146"/>
      <c r="F517" s="445">
        <f>+F518</f>
        <v>7130.95</v>
      </c>
      <c r="G517" s="160">
        <f>F517/C517*100</f>
        <v>1.8465310866762743</v>
      </c>
      <c r="H517" s="161" t="e">
        <f>F517/E517*100</f>
        <v>#DIV/0!</v>
      </c>
    </row>
    <row r="518" spans="1:8" ht="15">
      <c r="A518" s="65">
        <v>92222</v>
      </c>
      <c r="B518" s="62" t="s">
        <v>123</v>
      </c>
      <c r="C518" s="63">
        <v>386180.88</v>
      </c>
      <c r="D518" s="63"/>
      <c r="E518" s="147"/>
      <c r="F518" s="331">
        <v>7130.95</v>
      </c>
      <c r="G518" s="341">
        <f>F518/C518*100</f>
        <v>1.8465310866762743</v>
      </c>
      <c r="H518" s="360" t="e">
        <f>F518/E518*100</f>
        <v>#DIV/0!</v>
      </c>
    </row>
    <row r="519" spans="1:8" ht="15">
      <c r="A519" s="484" t="s">
        <v>6</v>
      </c>
      <c r="B519" s="485"/>
      <c r="C519" s="10">
        <f>+C518</f>
        <v>386180.88</v>
      </c>
      <c r="D519" s="10">
        <f>SUM(D517)</f>
        <v>0</v>
      </c>
      <c r="E519" s="10">
        <f>SUM(E517)</f>
        <v>0</v>
      </c>
      <c r="F519" s="10">
        <f>+F518</f>
        <v>7130.95</v>
      </c>
      <c r="G519" s="194">
        <f>F519/C519*100</f>
        <v>1.8465310866762743</v>
      </c>
      <c r="H519" s="195" t="e">
        <f>F519/E519*100</f>
        <v>#DIV/0!</v>
      </c>
    </row>
    <row r="520" spans="1:8" ht="19.5">
      <c r="A520" s="67"/>
      <c r="B520" s="67"/>
      <c r="C520" s="67"/>
      <c r="D520" s="67"/>
      <c r="E520" s="67"/>
      <c r="F520" s="67"/>
      <c r="G520" s="67"/>
      <c r="H520" s="67"/>
    </row>
    <row r="521" spans="1:8" ht="19.5">
      <c r="A521" s="482" t="s">
        <v>56</v>
      </c>
      <c r="B521" s="482"/>
      <c r="C521" s="49">
        <f>+C509</f>
        <v>14539300.08</v>
      </c>
      <c r="D521" s="49">
        <f>+D509</f>
        <v>14052229.660000002</v>
      </c>
      <c r="E521" s="49">
        <f>+E509</f>
        <v>14076917.620000001</v>
      </c>
      <c r="F521" s="49">
        <f>+F509</f>
        <v>14605454.120000001</v>
      </c>
      <c r="G521" s="10">
        <f>F521/C521*100</f>
        <v>100.45500154502625</v>
      </c>
      <c r="H521" s="10">
        <f>F521/E521*100</f>
        <v>103.75463232980118</v>
      </c>
    </row>
    <row r="522" spans="1:8" ht="19.5">
      <c r="A522" s="482" t="s">
        <v>124</v>
      </c>
      <c r="B522" s="482"/>
      <c r="C522" s="49">
        <f>SUM(C488-C519)</f>
        <v>14153119.2</v>
      </c>
      <c r="D522" s="49">
        <f>SUM(D488-D519)</f>
        <v>14052229.659999998</v>
      </c>
      <c r="E522" s="49">
        <f>SUM(E488-E519)</f>
        <v>14076917.62</v>
      </c>
      <c r="F522" s="49">
        <f>SUM(F488-F519)</f>
        <v>14598323.17</v>
      </c>
      <c r="G522" s="194">
        <f>F522/C522*100</f>
        <v>103.14562439352592</v>
      </c>
      <c r="H522" s="195">
        <f>F522/E522*100</f>
        <v>103.70397528830605</v>
      </c>
    </row>
    <row r="523" ht="15">
      <c r="G523" s="40"/>
    </row>
    <row r="524" ht="15">
      <c r="G524" s="40"/>
    </row>
    <row r="525" spans="1:7" ht="21.75" customHeight="1">
      <c r="A525" s="513" t="s">
        <v>72</v>
      </c>
      <c r="B525" s="513"/>
      <c r="C525" s="513"/>
      <c r="D525" s="513"/>
      <c r="E525" s="513"/>
      <c r="F525" s="513"/>
      <c r="G525" s="513"/>
    </row>
    <row r="526" ht="13.5" customHeight="1"/>
    <row r="527" spans="1:8" ht="13.5" customHeight="1">
      <c r="A527" s="515" t="s">
        <v>68</v>
      </c>
      <c r="B527" s="487" t="s">
        <v>69</v>
      </c>
      <c r="C527" s="470" t="s">
        <v>74</v>
      </c>
      <c r="D527" s="465" t="s">
        <v>169</v>
      </c>
      <c r="E527" s="465" t="s">
        <v>170</v>
      </c>
      <c r="F527" s="465" t="s">
        <v>171</v>
      </c>
      <c r="G527" s="465" t="s">
        <v>75</v>
      </c>
      <c r="H527" s="465" t="s">
        <v>75</v>
      </c>
    </row>
    <row r="528" spans="1:8" ht="15">
      <c r="A528" s="516"/>
      <c r="B528" s="488"/>
      <c r="C528" s="471"/>
      <c r="D528" s="466"/>
      <c r="E528" s="466"/>
      <c r="F528" s="466"/>
      <c r="G528" s="466"/>
      <c r="H528" s="466"/>
    </row>
    <row r="529" spans="1:8" ht="15">
      <c r="A529" s="473">
        <v>1</v>
      </c>
      <c r="B529" s="473"/>
      <c r="C529" s="73">
        <v>2</v>
      </c>
      <c r="D529" s="74">
        <v>3</v>
      </c>
      <c r="E529" s="74">
        <v>4</v>
      </c>
      <c r="F529" s="74">
        <v>5</v>
      </c>
      <c r="G529" s="74" t="s">
        <v>76</v>
      </c>
      <c r="H529" s="74" t="s">
        <v>77</v>
      </c>
    </row>
    <row r="530" spans="1:8" ht="15">
      <c r="A530" s="53">
        <v>1</v>
      </c>
      <c r="B530" s="54" t="s">
        <v>60</v>
      </c>
      <c r="C530" s="54"/>
      <c r="D530" s="55"/>
      <c r="E530" s="55"/>
      <c r="F530" s="55"/>
      <c r="G530" s="194"/>
      <c r="H530" s="195"/>
    </row>
    <row r="531" spans="1:8" ht="15">
      <c r="A531" s="95"/>
      <c r="B531" s="96" t="s">
        <v>59</v>
      </c>
      <c r="C531" s="97">
        <f>+C74</f>
        <v>1179843.29</v>
      </c>
      <c r="D531" s="97">
        <f>+D74</f>
        <v>1003292.14</v>
      </c>
      <c r="E531" s="97">
        <f>+E74</f>
        <v>1027979.64</v>
      </c>
      <c r="F531" s="97">
        <f>+F74</f>
        <v>1023702.88</v>
      </c>
      <c r="G531" s="160">
        <f>F531/C531*100</f>
        <v>86.7660043224893</v>
      </c>
      <c r="H531" s="161">
        <f>F531/E531*100</f>
        <v>99.58396452287712</v>
      </c>
    </row>
    <row r="532" spans="1:8" ht="15">
      <c r="A532" s="98"/>
      <c r="B532" s="99" t="s">
        <v>61</v>
      </c>
      <c r="C532" s="100">
        <f>+C498</f>
        <v>1179843.29</v>
      </c>
      <c r="D532" s="100">
        <f>+D498</f>
        <v>1003291.6799999999</v>
      </c>
      <c r="E532" s="100">
        <f>+E498</f>
        <v>1027979.64</v>
      </c>
      <c r="F532" s="100">
        <f>+F498</f>
        <v>1023702.74</v>
      </c>
      <c r="G532" s="341">
        <f>F532/C532*100</f>
        <v>86.76599245650665</v>
      </c>
      <c r="H532" s="360">
        <f>F532/E532*100</f>
        <v>99.58395090393036</v>
      </c>
    </row>
    <row r="533" spans="1:8" ht="15">
      <c r="A533" s="511" t="s">
        <v>113</v>
      </c>
      <c r="B533" s="512"/>
      <c r="C533" s="94">
        <f>C531-C532</f>
        <v>0</v>
      </c>
      <c r="D533" s="94">
        <f>D531-D532</f>
        <v>0.4600000000791624</v>
      </c>
      <c r="E533" s="94">
        <f>E531-E532</f>
        <v>0</v>
      </c>
      <c r="F533" s="94">
        <f>F531-F532</f>
        <v>0.14000000001396984</v>
      </c>
      <c r="G533" s="194" t="e">
        <f>F533/C533*100</f>
        <v>#DIV/0!</v>
      </c>
      <c r="H533" s="195" t="e">
        <f>F533/E533*100</f>
        <v>#DIV/0!</v>
      </c>
    </row>
    <row r="534" spans="1:8" ht="15">
      <c r="A534" s="53" t="s">
        <v>62</v>
      </c>
      <c r="B534" s="54" t="s">
        <v>25</v>
      </c>
      <c r="C534" s="54"/>
      <c r="D534" s="58"/>
      <c r="E534" s="58"/>
      <c r="F534" s="58"/>
      <c r="G534" s="194"/>
      <c r="H534" s="195"/>
    </row>
    <row r="535" spans="1:8" ht="15">
      <c r="A535" s="95"/>
      <c r="B535" s="96" t="s">
        <v>59</v>
      </c>
      <c r="C535" s="97">
        <f>+C75</f>
        <v>49776.02</v>
      </c>
      <c r="D535" s="97">
        <f>+D75</f>
        <v>23718</v>
      </c>
      <c r="E535" s="97">
        <f>+E75</f>
        <v>23718</v>
      </c>
      <c r="F535" s="97">
        <f>+F75</f>
        <v>19254</v>
      </c>
      <c r="G535" s="160">
        <f aca="true" t="shared" si="41" ref="G535:G556">F535/C535*100</f>
        <v>38.68127664686731</v>
      </c>
      <c r="H535" s="161">
        <f aca="true" t="shared" si="42" ref="H535:H556">F535/E535*100</f>
        <v>81.17885150518593</v>
      </c>
    </row>
    <row r="536" spans="1:8" ht="15">
      <c r="A536" s="98"/>
      <c r="B536" s="99" t="s">
        <v>61</v>
      </c>
      <c r="C536" s="100">
        <f>+C499+C500</f>
        <v>54635.630000000005</v>
      </c>
      <c r="D536" s="100">
        <f>+D499+D500+1</f>
        <v>23808.44</v>
      </c>
      <c r="E536" s="100">
        <f>+E499+E500+1</f>
        <v>23808.44</v>
      </c>
      <c r="F536" s="100">
        <f>+F499+F500+1</f>
        <v>19344.179999999997</v>
      </c>
      <c r="G536" s="341">
        <f t="shared" si="41"/>
        <v>35.40579654705179</v>
      </c>
      <c r="H536" s="360">
        <f t="shared" si="42"/>
        <v>81.24925446606328</v>
      </c>
    </row>
    <row r="537" spans="1:8" ht="15">
      <c r="A537" s="477" t="s">
        <v>114</v>
      </c>
      <c r="B537" s="478"/>
      <c r="C537" s="94">
        <f>C535-C536</f>
        <v>-4859.610000000008</v>
      </c>
      <c r="D537" s="94">
        <f>D535-D536</f>
        <v>-90.43999999999869</v>
      </c>
      <c r="E537" s="94">
        <f>E535-E536</f>
        <v>-90.43999999999869</v>
      </c>
      <c r="F537" s="94">
        <f>F535-F536</f>
        <v>-90.17999999999665</v>
      </c>
      <c r="G537" s="194">
        <f t="shared" si="41"/>
        <v>1.8557044701117273</v>
      </c>
      <c r="H537" s="195">
        <f t="shared" si="42"/>
        <v>99.71251658557935</v>
      </c>
    </row>
    <row r="538" spans="1:8" ht="15">
      <c r="A538" s="53" t="s">
        <v>63</v>
      </c>
      <c r="B538" s="54" t="s">
        <v>64</v>
      </c>
      <c r="C538" s="54"/>
      <c r="D538" s="55"/>
      <c r="E538" s="55"/>
      <c r="F538" s="55"/>
      <c r="G538" s="194"/>
      <c r="H538" s="195"/>
    </row>
    <row r="539" spans="1:8" ht="15">
      <c r="A539" s="95"/>
      <c r="B539" s="96" t="s">
        <v>59</v>
      </c>
      <c r="C539" s="97">
        <f>+C76</f>
        <v>159760</v>
      </c>
      <c r="D539" s="97">
        <f>+D76</f>
        <v>158000</v>
      </c>
      <c r="E539" s="97">
        <f>+E76</f>
        <v>158000</v>
      </c>
      <c r="F539" s="97">
        <f>+F76</f>
        <v>152220</v>
      </c>
      <c r="G539" s="160">
        <f t="shared" si="41"/>
        <v>95.28042063094642</v>
      </c>
      <c r="H539" s="161">
        <f t="shared" si="42"/>
        <v>96.34177215189872</v>
      </c>
    </row>
    <row r="540" spans="1:8" ht="15">
      <c r="A540" s="98"/>
      <c r="B540" s="99" t="s">
        <v>61</v>
      </c>
      <c r="C540" s="100">
        <f>+C501+C502</f>
        <v>210405.56</v>
      </c>
      <c r="D540" s="100">
        <f>+D501+D502+1</f>
        <v>182875.09</v>
      </c>
      <c r="E540" s="100">
        <f>+E501+E502+1</f>
        <v>182875.09</v>
      </c>
      <c r="F540" s="100">
        <f>+F501+F502+1</f>
        <v>71214.78</v>
      </c>
      <c r="G540" s="341">
        <f t="shared" si="41"/>
        <v>33.84643447635129</v>
      </c>
      <c r="H540" s="360">
        <f t="shared" si="42"/>
        <v>38.94176073952992</v>
      </c>
    </row>
    <row r="541" spans="1:8" ht="21.75" customHeight="1">
      <c r="A541" s="509" t="s">
        <v>114</v>
      </c>
      <c r="B541" s="510"/>
      <c r="C541" s="94">
        <f>C539-C540</f>
        <v>-50645.56</v>
      </c>
      <c r="D541" s="94">
        <f>D539-D540</f>
        <v>-24875.089999999997</v>
      </c>
      <c r="E541" s="94">
        <f>E539-E540</f>
        <v>-24875.089999999997</v>
      </c>
      <c r="F541" s="94">
        <f>F539-F540</f>
        <v>81005.22</v>
      </c>
      <c r="G541" s="194">
        <f t="shared" si="41"/>
        <v>-159.94535355122937</v>
      </c>
      <c r="H541" s="195">
        <f t="shared" si="42"/>
        <v>-325.6479474044114</v>
      </c>
    </row>
    <row r="542" spans="1:8" ht="15">
      <c r="A542" s="53" t="s">
        <v>65</v>
      </c>
      <c r="B542" s="54" t="s">
        <v>2</v>
      </c>
      <c r="C542" s="54"/>
      <c r="D542" s="55"/>
      <c r="E542" s="55"/>
      <c r="F542" s="55"/>
      <c r="G542" s="194"/>
      <c r="H542" s="195"/>
    </row>
    <row r="543" spans="1:8" ht="15">
      <c r="A543" s="59"/>
      <c r="B543" s="51" t="s">
        <v>59</v>
      </c>
      <c r="C543" s="52">
        <f>+C77</f>
        <v>12849764.67</v>
      </c>
      <c r="D543" s="52">
        <f>+D77</f>
        <v>12756905.32</v>
      </c>
      <c r="E543" s="52">
        <f>+E77</f>
        <v>12756905.32</v>
      </c>
      <c r="F543" s="52">
        <f>+F77</f>
        <v>13410880.200000001</v>
      </c>
      <c r="G543" s="160">
        <f t="shared" si="41"/>
        <v>104.36673779178247</v>
      </c>
      <c r="H543" s="161">
        <f t="shared" si="42"/>
        <v>105.12643829828158</v>
      </c>
    </row>
    <row r="544" spans="1:8" ht="15">
      <c r="A544" s="60"/>
      <c r="B544" s="56" t="s">
        <v>61</v>
      </c>
      <c r="C544" s="57">
        <f>+C503+C504</f>
        <v>13090339.6</v>
      </c>
      <c r="D544" s="57">
        <f>+D503+D504</f>
        <v>12827246.85</v>
      </c>
      <c r="E544" s="57">
        <f>+E503+E504+1</f>
        <v>12827246.85</v>
      </c>
      <c r="F544" s="57">
        <f>+F503+F504+1</f>
        <v>13476519.82</v>
      </c>
      <c r="G544" s="341">
        <f t="shared" si="41"/>
        <v>102.9501161299131</v>
      </c>
      <c r="H544" s="360">
        <f t="shared" si="42"/>
        <v>105.06167050180375</v>
      </c>
    </row>
    <row r="545" spans="1:8" ht="15">
      <c r="A545" s="477" t="s">
        <v>114</v>
      </c>
      <c r="B545" s="478"/>
      <c r="C545" s="332">
        <f>C543-C544</f>
        <v>-240574.9299999997</v>
      </c>
      <c r="D545" s="332">
        <f>D543-D544</f>
        <v>-70341.52999999933</v>
      </c>
      <c r="E545" s="332">
        <f>E543-E544</f>
        <v>-70341.52999999933</v>
      </c>
      <c r="F545" s="332">
        <f>F543-F544</f>
        <v>-65639.61999999918</v>
      </c>
      <c r="G545" s="194">
        <f t="shared" si="41"/>
        <v>27.284480556639572</v>
      </c>
      <c r="H545" s="195">
        <f t="shared" si="42"/>
        <v>93.31559890721712</v>
      </c>
    </row>
    <row r="546" spans="1:8" ht="15">
      <c r="A546" s="53" t="s">
        <v>225</v>
      </c>
      <c r="B546" s="54" t="s">
        <v>205</v>
      </c>
      <c r="C546" s="54"/>
      <c r="D546" s="55"/>
      <c r="E546" s="55"/>
      <c r="F546" s="55"/>
      <c r="G546" s="194"/>
      <c r="H546" s="195"/>
    </row>
    <row r="547" spans="1:8" ht="15">
      <c r="A547" s="59"/>
      <c r="B547" s="51" t="s">
        <v>59</v>
      </c>
      <c r="C547" s="52">
        <f>+C78</f>
        <v>4246</v>
      </c>
      <c r="D547" s="52">
        <f>+D78</f>
        <v>12494</v>
      </c>
      <c r="E547" s="52">
        <f>+E78</f>
        <v>12494</v>
      </c>
      <c r="F547" s="52">
        <f>+F78</f>
        <v>12494</v>
      </c>
      <c r="G547" s="160">
        <f>F547/C547*100</f>
        <v>294.2534149788036</v>
      </c>
      <c r="H547" s="161">
        <f>F547/E547*100</f>
        <v>100</v>
      </c>
    </row>
    <row r="548" spans="1:8" ht="15">
      <c r="A548" s="60"/>
      <c r="B548" s="56" t="s">
        <v>61</v>
      </c>
      <c r="C548" s="57">
        <f>+C505+C506</f>
        <v>4076</v>
      </c>
      <c r="D548" s="57">
        <f>+D505+D506+1</f>
        <v>12664</v>
      </c>
      <c r="E548" s="57">
        <f>+E505+E506+1</f>
        <v>12664</v>
      </c>
      <c r="F548" s="57">
        <f>+F505+F506+1</f>
        <v>12664</v>
      </c>
      <c r="G548" s="341">
        <f>F548/C548*100</f>
        <v>310.6967615309127</v>
      </c>
      <c r="H548" s="360">
        <f>F548/E548*100</f>
        <v>100</v>
      </c>
    </row>
    <row r="549" spans="1:8" ht="15">
      <c r="A549" s="477" t="s">
        <v>114</v>
      </c>
      <c r="B549" s="478"/>
      <c r="C549" s="332">
        <f>C547-C548</f>
        <v>170</v>
      </c>
      <c r="D549" s="332">
        <f>D547-D548</f>
        <v>-170</v>
      </c>
      <c r="E549" s="332">
        <f>E547-E548</f>
        <v>-170</v>
      </c>
      <c r="F549" s="332">
        <f>F547-F548</f>
        <v>-170</v>
      </c>
      <c r="G549" s="194">
        <f>F549/C549*100</f>
        <v>-100</v>
      </c>
      <c r="H549" s="195">
        <f>F549/E549*100</f>
        <v>100</v>
      </c>
    </row>
    <row r="550" spans="1:8" ht="28.5">
      <c r="A550" s="53" t="s">
        <v>226</v>
      </c>
      <c r="B550" s="333" t="s">
        <v>207</v>
      </c>
      <c r="C550" s="54"/>
      <c r="D550" s="55"/>
      <c r="E550" s="55"/>
      <c r="F550" s="55"/>
      <c r="G550" s="194"/>
      <c r="H550" s="195"/>
    </row>
    <row r="551" spans="1:8" ht="15">
      <c r="A551" s="59"/>
      <c r="B551" s="51" t="s">
        <v>59</v>
      </c>
      <c r="C551" s="52">
        <f>+C79</f>
        <v>877.8</v>
      </c>
      <c r="D551" s="52">
        <f>+D79</f>
        <v>1465.8</v>
      </c>
      <c r="E551" s="52">
        <f>+E79</f>
        <v>1465.8</v>
      </c>
      <c r="F551" s="52">
        <f>+F79</f>
        <v>1129.8</v>
      </c>
      <c r="G551" s="160">
        <f>F551/C551*100</f>
        <v>128.70813397129186</v>
      </c>
      <c r="H551" s="161">
        <f>F551/E551*100</f>
        <v>77.07736389684814</v>
      </c>
    </row>
    <row r="552" spans="1:8" ht="15">
      <c r="A552" s="60"/>
      <c r="B552" s="56" t="s">
        <v>61</v>
      </c>
      <c r="C552" s="57">
        <f>+C507+C508</f>
        <v>0</v>
      </c>
      <c r="D552" s="57">
        <f>+D507+D508</f>
        <v>2343.6</v>
      </c>
      <c r="E552" s="57">
        <f>+E507+E508</f>
        <v>2343.6</v>
      </c>
      <c r="F552" s="57">
        <f>+F507+F508+1</f>
        <v>2008.6</v>
      </c>
      <c r="G552" s="341" t="e">
        <f>F552/C552*100</f>
        <v>#DIV/0!</v>
      </c>
      <c r="H552" s="360">
        <f>F552/E552*100</f>
        <v>85.7057518347841</v>
      </c>
    </row>
    <row r="553" spans="1:8" ht="15">
      <c r="A553" s="477" t="s">
        <v>114</v>
      </c>
      <c r="B553" s="478"/>
      <c r="C553" s="332">
        <f>C551-C552</f>
        <v>877.8</v>
      </c>
      <c r="D553" s="332">
        <f>D551-D552</f>
        <v>-877.8</v>
      </c>
      <c r="E553" s="332">
        <f>E551-E552</f>
        <v>-877.8</v>
      </c>
      <c r="F553" s="332">
        <f>F551-F552</f>
        <v>-878.8</v>
      </c>
      <c r="G553" s="194">
        <f>F553/C553*100</f>
        <v>-100.11392116655276</v>
      </c>
      <c r="H553" s="195">
        <f>F553/E553*100</f>
        <v>100.11392116655276</v>
      </c>
    </row>
    <row r="554" spans="1:8" ht="15">
      <c r="A554" s="243"/>
      <c r="B554" s="244"/>
      <c r="C554" s="244"/>
      <c r="D554" s="245"/>
      <c r="E554" s="245"/>
      <c r="F554" s="245"/>
      <c r="G554" s="160"/>
      <c r="H554" s="161"/>
    </row>
    <row r="555" spans="1:8" ht="15">
      <c r="A555" s="508" t="s">
        <v>66</v>
      </c>
      <c r="B555" s="508"/>
      <c r="C555" s="246">
        <f aca="true" t="shared" si="43" ref="C555:F556">C531+C535+C539+C543+C547+C551</f>
        <v>14244267.780000001</v>
      </c>
      <c r="D555" s="246">
        <f t="shared" si="43"/>
        <v>13955875.260000002</v>
      </c>
      <c r="E555" s="246">
        <f t="shared" si="43"/>
        <v>13980562.760000002</v>
      </c>
      <c r="F555" s="246">
        <f t="shared" si="43"/>
        <v>14619680.880000003</v>
      </c>
      <c r="G555" s="10">
        <f t="shared" si="41"/>
        <v>102.63553806905476</v>
      </c>
      <c r="H555" s="10">
        <f t="shared" si="42"/>
        <v>104.57147634878183</v>
      </c>
    </row>
    <row r="556" spans="1:8" ht="15">
      <c r="A556" s="508" t="s">
        <v>67</v>
      </c>
      <c r="B556" s="508"/>
      <c r="C556" s="246">
        <f t="shared" si="43"/>
        <v>14539300.08</v>
      </c>
      <c r="D556" s="246">
        <f t="shared" si="43"/>
        <v>14052229.659999998</v>
      </c>
      <c r="E556" s="246">
        <f t="shared" si="43"/>
        <v>14076917.62</v>
      </c>
      <c r="F556" s="246">
        <f t="shared" si="43"/>
        <v>14605454.12</v>
      </c>
      <c r="G556" s="10">
        <f t="shared" si="41"/>
        <v>100.45500154502622</v>
      </c>
      <c r="H556" s="10">
        <f t="shared" si="42"/>
        <v>103.7546323298012</v>
      </c>
    </row>
  </sheetData>
  <sheetProtection/>
  <autoFilter ref="A6:H485"/>
  <mergeCells count="422">
    <mergeCell ref="L61:L62"/>
    <mergeCell ref="M61:M62"/>
    <mergeCell ref="A64:B64"/>
    <mergeCell ref="G59:G60"/>
    <mergeCell ref="H59:H60"/>
    <mergeCell ref="A61:B61"/>
    <mergeCell ref="I61:I62"/>
    <mergeCell ref="J61:J62"/>
    <mergeCell ref="K61:K62"/>
    <mergeCell ref="K52:K53"/>
    <mergeCell ref="L52:L53"/>
    <mergeCell ref="M52:M53"/>
    <mergeCell ref="A56:B56"/>
    <mergeCell ref="A59:A60"/>
    <mergeCell ref="B59:B60"/>
    <mergeCell ref="C59:C60"/>
    <mergeCell ref="D59:D60"/>
    <mergeCell ref="E59:E60"/>
    <mergeCell ref="F59:F60"/>
    <mergeCell ref="F50:F51"/>
    <mergeCell ref="G50:G51"/>
    <mergeCell ref="H50:H51"/>
    <mergeCell ref="A52:B52"/>
    <mergeCell ref="I52:I53"/>
    <mergeCell ref="J52:J53"/>
    <mergeCell ref="F478:F479"/>
    <mergeCell ref="G478:G479"/>
    <mergeCell ref="H478:H479"/>
    <mergeCell ref="A480:B480"/>
    <mergeCell ref="A485:B485"/>
    <mergeCell ref="A50:A51"/>
    <mergeCell ref="B50:B51"/>
    <mergeCell ref="C50:C51"/>
    <mergeCell ref="D50:D51"/>
    <mergeCell ref="E50:E51"/>
    <mergeCell ref="G424:G425"/>
    <mergeCell ref="H424:H425"/>
    <mergeCell ref="A426:B426"/>
    <mergeCell ref="A430:B430"/>
    <mergeCell ref="A476:D476"/>
    <mergeCell ref="A478:A479"/>
    <mergeCell ref="B478:B479"/>
    <mergeCell ref="C478:C479"/>
    <mergeCell ref="D478:D479"/>
    <mergeCell ref="E478:E479"/>
    <mergeCell ref="A424:A425"/>
    <mergeCell ref="B424:B425"/>
    <mergeCell ref="C424:C425"/>
    <mergeCell ref="D424:D425"/>
    <mergeCell ref="E424:E425"/>
    <mergeCell ref="F424:F425"/>
    <mergeCell ref="E415:E416"/>
    <mergeCell ref="F415:F416"/>
    <mergeCell ref="G415:G416"/>
    <mergeCell ref="H415:H416"/>
    <mergeCell ref="A417:B417"/>
    <mergeCell ref="A421:B421"/>
    <mergeCell ref="A408:B408"/>
    <mergeCell ref="A412:B412"/>
    <mergeCell ref="A415:A416"/>
    <mergeCell ref="B415:B416"/>
    <mergeCell ref="C415:C416"/>
    <mergeCell ref="D415:D416"/>
    <mergeCell ref="G391:G392"/>
    <mergeCell ref="H391:H392"/>
    <mergeCell ref="A393:B393"/>
    <mergeCell ref="A403:B403"/>
    <mergeCell ref="A406:A407"/>
    <mergeCell ref="B406:B407"/>
    <mergeCell ref="C406:C407"/>
    <mergeCell ref="D406:D407"/>
    <mergeCell ref="E406:E407"/>
    <mergeCell ref="F406:F407"/>
    <mergeCell ref="A391:A392"/>
    <mergeCell ref="B391:B392"/>
    <mergeCell ref="C391:C392"/>
    <mergeCell ref="D391:D392"/>
    <mergeCell ref="E391:E392"/>
    <mergeCell ref="F391:F392"/>
    <mergeCell ref="A378:A379"/>
    <mergeCell ref="B378:B379"/>
    <mergeCell ref="C378:C379"/>
    <mergeCell ref="D378:D379"/>
    <mergeCell ref="E378:E379"/>
    <mergeCell ref="F378:F379"/>
    <mergeCell ref="E338:E339"/>
    <mergeCell ref="F338:F339"/>
    <mergeCell ref="G338:G339"/>
    <mergeCell ref="H338:H339"/>
    <mergeCell ref="A340:B340"/>
    <mergeCell ref="A344:B344"/>
    <mergeCell ref="G378:G379"/>
    <mergeCell ref="H378:H379"/>
    <mergeCell ref="A321:A322"/>
    <mergeCell ref="B321:B322"/>
    <mergeCell ref="C321:C322"/>
    <mergeCell ref="D321:D322"/>
    <mergeCell ref="A338:A339"/>
    <mergeCell ref="B338:B339"/>
    <mergeCell ref="C338:C339"/>
    <mergeCell ref="D338:D339"/>
    <mergeCell ref="C277:C278"/>
    <mergeCell ref="E277:E278"/>
    <mergeCell ref="G321:G322"/>
    <mergeCell ref="H321:H322"/>
    <mergeCell ref="A323:B323"/>
    <mergeCell ref="A335:B335"/>
    <mergeCell ref="F277:F278"/>
    <mergeCell ref="H311:H312"/>
    <mergeCell ref="G217:G218"/>
    <mergeCell ref="H217:H218"/>
    <mergeCell ref="A219:B219"/>
    <mergeCell ref="A223:B223"/>
    <mergeCell ref="E217:E218"/>
    <mergeCell ref="F217:F218"/>
    <mergeCell ref="G406:G407"/>
    <mergeCell ref="H406:H407"/>
    <mergeCell ref="F134:F135"/>
    <mergeCell ref="G134:G135"/>
    <mergeCell ref="H134:H135"/>
    <mergeCell ref="A142:B142"/>
    <mergeCell ref="A217:A218"/>
    <mergeCell ref="B217:B218"/>
    <mergeCell ref="C217:C218"/>
    <mergeCell ref="D217:D218"/>
    <mergeCell ref="A132:D132"/>
    <mergeCell ref="A134:A135"/>
    <mergeCell ref="B134:B135"/>
    <mergeCell ref="C134:C135"/>
    <mergeCell ref="D134:D135"/>
    <mergeCell ref="E134:E135"/>
    <mergeCell ref="A529:B529"/>
    <mergeCell ref="A106:B106"/>
    <mergeCell ref="G71:G72"/>
    <mergeCell ref="H71:H72"/>
    <mergeCell ref="A73:B73"/>
    <mergeCell ref="A495:A496"/>
    <mergeCell ref="B495:B496"/>
    <mergeCell ref="C495:C496"/>
    <mergeCell ref="D495:D496"/>
    <mergeCell ref="E495:E496"/>
    <mergeCell ref="F495:F496"/>
    <mergeCell ref="A279:B279"/>
    <mergeCell ref="C349:C350"/>
    <mergeCell ref="E349:E350"/>
    <mergeCell ref="A509:B509"/>
    <mergeCell ref="F349:F350"/>
    <mergeCell ref="A366:B366"/>
    <mergeCell ref="A497:B497"/>
    <mergeCell ref="A380:B380"/>
    <mergeCell ref="A388:B388"/>
    <mergeCell ref="A375:B375"/>
    <mergeCell ref="A358:A359"/>
    <mergeCell ref="G311:G312"/>
    <mergeCell ref="D358:D359"/>
    <mergeCell ref="A369:A370"/>
    <mergeCell ref="B369:B370"/>
    <mergeCell ref="D369:D370"/>
    <mergeCell ref="E321:E322"/>
    <mergeCell ref="F321:F322"/>
    <mergeCell ref="A313:B313"/>
    <mergeCell ref="G349:G350"/>
    <mergeCell ref="C358:C359"/>
    <mergeCell ref="E358:E359"/>
    <mergeCell ref="F358:F359"/>
    <mergeCell ref="G358:G359"/>
    <mergeCell ref="A351:B351"/>
    <mergeCell ref="A355:B355"/>
    <mergeCell ref="B358:B359"/>
    <mergeCell ref="D267:D268"/>
    <mergeCell ref="H267:H268"/>
    <mergeCell ref="F226:F227"/>
    <mergeCell ref="G277:G278"/>
    <mergeCell ref="H277:H278"/>
    <mergeCell ref="A349:A350"/>
    <mergeCell ref="B349:B350"/>
    <mergeCell ref="D349:D350"/>
    <mergeCell ref="H349:H350"/>
    <mergeCell ref="F311:F312"/>
    <mergeCell ref="D226:D227"/>
    <mergeCell ref="A274:B274"/>
    <mergeCell ref="A152:B152"/>
    <mergeCell ref="H226:H227"/>
    <mergeCell ref="A228:B228"/>
    <mergeCell ref="C267:C268"/>
    <mergeCell ref="E267:E268"/>
    <mergeCell ref="F267:F268"/>
    <mergeCell ref="G267:G268"/>
    <mergeCell ref="B267:B268"/>
    <mergeCell ref="A126:B126"/>
    <mergeCell ref="A127:B127"/>
    <mergeCell ref="A267:A268"/>
    <mergeCell ref="E226:E227"/>
    <mergeCell ref="B101:B102"/>
    <mergeCell ref="D101:D102"/>
    <mergeCell ref="A103:B103"/>
    <mergeCell ref="C150:C151"/>
    <mergeCell ref="E150:E151"/>
    <mergeCell ref="A101:A102"/>
    <mergeCell ref="F150:F151"/>
    <mergeCell ref="A90:B90"/>
    <mergeCell ref="E85:E86"/>
    <mergeCell ref="A69:H69"/>
    <mergeCell ref="A95:B95"/>
    <mergeCell ref="C101:C102"/>
    <mergeCell ref="E101:E102"/>
    <mergeCell ref="F101:F102"/>
    <mergeCell ref="G101:G102"/>
    <mergeCell ref="H101:H102"/>
    <mergeCell ref="G85:G86"/>
    <mergeCell ref="C93:C94"/>
    <mergeCell ref="E93:E94"/>
    <mergeCell ref="F93:F94"/>
    <mergeCell ref="G93:G94"/>
    <mergeCell ref="H93:H94"/>
    <mergeCell ref="D93:D94"/>
    <mergeCell ref="A87:B87"/>
    <mergeCell ref="A71:A72"/>
    <mergeCell ref="B71:B72"/>
    <mergeCell ref="C71:C72"/>
    <mergeCell ref="D71:D72"/>
    <mergeCell ref="F71:F72"/>
    <mergeCell ref="E71:E72"/>
    <mergeCell ref="C26:C27"/>
    <mergeCell ref="D26:D27"/>
    <mergeCell ref="E26:E27"/>
    <mergeCell ref="A35:A36"/>
    <mergeCell ref="B35:B36"/>
    <mergeCell ref="C35:C36"/>
    <mergeCell ref="D35:D36"/>
    <mergeCell ref="H15:H16"/>
    <mergeCell ref="A15:A16"/>
    <mergeCell ref="B15:B16"/>
    <mergeCell ref="C15:C16"/>
    <mergeCell ref="D15:D16"/>
    <mergeCell ref="E15:E16"/>
    <mergeCell ref="H495:H496"/>
    <mergeCell ref="C6:C7"/>
    <mergeCell ref="G6:G7"/>
    <mergeCell ref="A8:B8"/>
    <mergeCell ref="A493:G493"/>
    <mergeCell ref="A277:A278"/>
    <mergeCell ref="B277:B278"/>
    <mergeCell ref="D277:D278"/>
    <mergeCell ref="A308:B308"/>
    <mergeCell ref="F26:F27"/>
    <mergeCell ref="A541:B541"/>
    <mergeCell ref="A545:B545"/>
    <mergeCell ref="A533:B533"/>
    <mergeCell ref="A537:B537"/>
    <mergeCell ref="A525:G525"/>
    <mergeCell ref="A360:B360"/>
    <mergeCell ref="C369:C370"/>
    <mergeCell ref="G495:G496"/>
    <mergeCell ref="A488:B488"/>
    <mergeCell ref="A527:A528"/>
    <mergeCell ref="H369:H370"/>
    <mergeCell ref="K353:K355"/>
    <mergeCell ref="L353:L355"/>
    <mergeCell ref="A555:B555"/>
    <mergeCell ref="A556:B556"/>
    <mergeCell ref="E369:E370"/>
    <mergeCell ref="F369:F370"/>
    <mergeCell ref="G369:G370"/>
    <mergeCell ref="A371:B371"/>
    <mergeCell ref="I353:I355"/>
    <mergeCell ref="H358:H359"/>
    <mergeCell ref="H191:H192"/>
    <mergeCell ref="A193:B193"/>
    <mergeCell ref="A318:B318"/>
    <mergeCell ref="A347:C347"/>
    <mergeCell ref="M353:M355"/>
    <mergeCell ref="J353:J355"/>
    <mergeCell ref="G226:G227"/>
    <mergeCell ref="A226:A227"/>
    <mergeCell ref="B226:B227"/>
    <mergeCell ref="G26:G27"/>
    <mergeCell ref="H150:H151"/>
    <mergeCell ref="D150:D151"/>
    <mergeCell ref="A214:B214"/>
    <mergeCell ref="A264:B264"/>
    <mergeCell ref="A188:B188"/>
    <mergeCell ref="H26:H27"/>
    <mergeCell ref="A28:B28"/>
    <mergeCell ref="A26:A27"/>
    <mergeCell ref="B26:B27"/>
    <mergeCell ref="F6:F7"/>
    <mergeCell ref="A1:G1"/>
    <mergeCell ref="A148:D148"/>
    <mergeCell ref="A191:A192"/>
    <mergeCell ref="B191:B192"/>
    <mergeCell ref="D191:D192"/>
    <mergeCell ref="A98:B98"/>
    <mergeCell ref="A17:B17"/>
    <mergeCell ref="F15:F16"/>
    <mergeCell ref="G15:G16"/>
    <mergeCell ref="K28:K29"/>
    <mergeCell ref="A3:G3"/>
    <mergeCell ref="H35:H36"/>
    <mergeCell ref="A6:A7"/>
    <mergeCell ref="H6:H7"/>
    <mergeCell ref="A12:B12"/>
    <mergeCell ref="B6:B7"/>
    <mergeCell ref="D6:D7"/>
    <mergeCell ref="E6:E7"/>
    <mergeCell ref="J28:J29"/>
    <mergeCell ref="I28:I29"/>
    <mergeCell ref="A93:A94"/>
    <mergeCell ref="B93:B94"/>
    <mergeCell ref="E35:E36"/>
    <mergeCell ref="F35:F36"/>
    <mergeCell ref="G35:G36"/>
    <mergeCell ref="A37:B37"/>
    <mergeCell ref="C85:C86"/>
    <mergeCell ref="F85:F86"/>
    <mergeCell ref="H85:H86"/>
    <mergeCell ref="A269:B269"/>
    <mergeCell ref="M28:M29"/>
    <mergeCell ref="A47:B47"/>
    <mergeCell ref="A23:B23"/>
    <mergeCell ref="A85:A86"/>
    <mergeCell ref="B85:B86"/>
    <mergeCell ref="D85:D86"/>
    <mergeCell ref="A32:B32"/>
    <mergeCell ref="A82:G82"/>
    <mergeCell ref="L28:L29"/>
    <mergeCell ref="G191:G192"/>
    <mergeCell ref="A130:H130"/>
    <mergeCell ref="E311:E312"/>
    <mergeCell ref="D311:D312"/>
    <mergeCell ref="E191:E192"/>
    <mergeCell ref="F191:F192"/>
    <mergeCell ref="G150:G151"/>
    <mergeCell ref="A150:A151"/>
    <mergeCell ref="B150:B151"/>
    <mergeCell ref="A311:A312"/>
    <mergeCell ref="H527:H528"/>
    <mergeCell ref="C527:C528"/>
    <mergeCell ref="D527:D528"/>
    <mergeCell ref="E527:E528"/>
    <mergeCell ref="F527:F528"/>
    <mergeCell ref="G527:G528"/>
    <mergeCell ref="B514:B515"/>
    <mergeCell ref="C514:C515"/>
    <mergeCell ref="D514:D515"/>
    <mergeCell ref="E514:E515"/>
    <mergeCell ref="B527:B528"/>
    <mergeCell ref="A67:B67"/>
    <mergeCell ref="B311:B312"/>
    <mergeCell ref="C311:C312"/>
    <mergeCell ref="C226:C227"/>
    <mergeCell ref="C191:C192"/>
    <mergeCell ref="A522:B522"/>
    <mergeCell ref="A511:H511"/>
    <mergeCell ref="A519:B519"/>
    <mergeCell ref="F514:F515"/>
    <mergeCell ref="G514:G515"/>
    <mergeCell ref="H514:H515"/>
    <mergeCell ref="A516:B516"/>
    <mergeCell ref="A521:B521"/>
    <mergeCell ref="A513:E513"/>
    <mergeCell ref="A514:A515"/>
    <mergeCell ref="C117:C118"/>
    <mergeCell ref="D117:D118"/>
    <mergeCell ref="E117:E118"/>
    <mergeCell ref="F117:F118"/>
    <mergeCell ref="A109:A110"/>
    <mergeCell ref="B109:B110"/>
    <mergeCell ref="C109:C110"/>
    <mergeCell ref="D109:D110"/>
    <mergeCell ref="E109:E110"/>
    <mergeCell ref="F109:F110"/>
    <mergeCell ref="G117:G118"/>
    <mergeCell ref="H117:H118"/>
    <mergeCell ref="A119:B119"/>
    <mergeCell ref="A122:B122"/>
    <mergeCell ref="G109:G110"/>
    <mergeCell ref="H109:H110"/>
    <mergeCell ref="A111:B111"/>
    <mergeCell ref="A114:B114"/>
    <mergeCell ref="A117:A118"/>
    <mergeCell ref="B117:B118"/>
    <mergeCell ref="A435:D435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A443:B443"/>
    <mergeCell ref="A446:A447"/>
    <mergeCell ref="B446:B447"/>
    <mergeCell ref="C446:C447"/>
    <mergeCell ref="D446:D447"/>
    <mergeCell ref="E446:E447"/>
    <mergeCell ref="F446:F447"/>
    <mergeCell ref="A456:B456"/>
    <mergeCell ref="A459:A460"/>
    <mergeCell ref="B459:B460"/>
    <mergeCell ref="C459:C460"/>
    <mergeCell ref="D459:D460"/>
    <mergeCell ref="E459:E460"/>
    <mergeCell ref="E468:E469"/>
    <mergeCell ref="F468:F469"/>
    <mergeCell ref="G446:G447"/>
    <mergeCell ref="H446:H447"/>
    <mergeCell ref="F459:F460"/>
    <mergeCell ref="G459:G460"/>
    <mergeCell ref="G468:G469"/>
    <mergeCell ref="H468:H469"/>
    <mergeCell ref="A473:B473"/>
    <mergeCell ref="A549:B549"/>
    <mergeCell ref="A553:B553"/>
    <mergeCell ref="H459:H460"/>
    <mergeCell ref="A464:B464"/>
    <mergeCell ref="A466:D466"/>
    <mergeCell ref="A468:A469"/>
    <mergeCell ref="B468:B469"/>
    <mergeCell ref="C468:C469"/>
    <mergeCell ref="D468:D469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63" r:id="rId1"/>
  <rowBreaks count="13" manualBreakCount="13">
    <brk id="33" max="7" man="1"/>
    <brk id="67" max="7" man="1"/>
    <brk id="106" max="7" man="1"/>
    <brk id="129" max="7" man="1"/>
    <brk id="188" max="7" man="1"/>
    <brk id="264" max="7" man="1"/>
    <brk id="308" max="7" man="1"/>
    <brk id="346" max="7" man="1"/>
    <brk id="376" max="7" man="1"/>
    <brk id="413" max="7" man="1"/>
    <brk id="456" max="7" man="1"/>
    <brk id="489" max="7" man="1"/>
    <brk id="5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Šefica računovodstva</cp:lastModifiedBy>
  <cp:lastPrinted>2021-02-16T08:53:17Z</cp:lastPrinted>
  <dcterms:created xsi:type="dcterms:W3CDTF">1996-10-14T23:33:28Z</dcterms:created>
  <dcterms:modified xsi:type="dcterms:W3CDTF">2021-04-16T08:21:10Z</dcterms:modified>
  <cp:category/>
  <cp:version/>
  <cp:contentType/>
  <cp:contentStatus/>
</cp:coreProperties>
</file>